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 hidePivotFieldList="1"/>
  <mc:AlternateContent xmlns:mc="http://schemas.openxmlformats.org/markup-compatibility/2006">
    <mc:Choice Requires="x15">
      <x15ac:absPath xmlns:x15ac="http://schemas.microsoft.com/office/spreadsheetml/2010/11/ac" url="C:\Users\Usuario\Desktop\CECOSF Alemania\"/>
    </mc:Choice>
  </mc:AlternateContent>
  <xr:revisionPtr revIDLastSave="0" documentId="13_ncr:1_{49BB5FE8-329B-4E98-A12B-C0B3B3C6B0F3}" xr6:coauthVersionLast="36" xr6:coauthVersionMax="36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Electricidad" sheetId="5" state="hidden" r:id="rId1"/>
    <sheet name="Itemizado" sheetId="24" r:id="rId2"/>
  </sheets>
  <definedNames>
    <definedName name="_xlnm.Print_Area" localSheetId="0">Electricidad!$B$6:$G$43</definedName>
    <definedName name="_xlnm.Print_Area" localSheetId="1">Itemizado!$A$1:$F$632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91" i="24" l="1"/>
  <c r="H579" i="24"/>
  <c r="D582" i="24"/>
  <c r="D581" i="24"/>
  <c r="D580" i="24"/>
  <c r="D588" i="24" s="1"/>
  <c r="D589" i="24" s="1"/>
  <c r="H570" i="24"/>
  <c r="H568" i="24"/>
  <c r="H560" i="24"/>
  <c r="D559" i="24"/>
  <c r="H552" i="24"/>
  <c r="D553" i="24"/>
  <c r="D554" i="24" s="1"/>
  <c r="D550" i="24"/>
  <c r="D551" i="24" s="1"/>
  <c r="D546" i="24"/>
  <c r="D539" i="24"/>
  <c r="D540" i="24" s="1"/>
  <c r="D538" i="24"/>
  <c r="D537" i="24"/>
  <c r="D536" i="24"/>
  <c r="D535" i="24"/>
  <c r="D534" i="24"/>
  <c r="D532" i="24"/>
  <c r="D524" i="24"/>
  <c r="D523" i="24"/>
  <c r="D514" i="24"/>
  <c r="D511" i="24"/>
  <c r="D510" i="24"/>
  <c r="D507" i="24"/>
  <c r="D506" i="24"/>
  <c r="D505" i="24"/>
  <c r="D502" i="24"/>
  <c r="D498" i="24"/>
  <c r="D497" i="24"/>
  <c r="D494" i="24"/>
  <c r="D493" i="24"/>
  <c r="D492" i="24"/>
  <c r="H490" i="24"/>
  <c r="D485" i="24"/>
  <c r="D483" i="24"/>
  <c r="D484" i="24" s="1"/>
  <c r="D479" i="24"/>
  <c r="D477" i="24"/>
  <c r="D470" i="24"/>
  <c r="D468" i="24"/>
  <c r="D469" i="24" s="1"/>
  <c r="D464" i="24"/>
  <c r="D462" i="24"/>
  <c r="D455" i="24"/>
  <c r="D454" i="24"/>
  <c r="D453" i="24"/>
  <c r="D449" i="24"/>
  <c r="D447" i="24"/>
  <c r="D444" i="24"/>
  <c r="D439" i="24"/>
  <c r="D437" i="24"/>
  <c r="D438" i="24" s="1"/>
  <c r="D433" i="24"/>
  <c r="D430" i="24"/>
  <c r="D431" i="24" s="1"/>
  <c r="D422" i="24"/>
  <c r="D420" i="24"/>
  <c r="D417" i="24"/>
  <c r="D418" i="24" s="1"/>
  <c r="D416" i="24"/>
  <c r="D414" i="24"/>
  <c r="D402" i="24"/>
  <c r="D401" i="24"/>
  <c r="D398" i="24"/>
  <c r="D407" i="24" s="1"/>
  <c r="D395" i="24"/>
  <c r="D397" i="24" s="1"/>
  <c r="D388" i="24"/>
  <c r="D386" i="24"/>
  <c r="D387" i="24" s="1"/>
  <c r="D377" i="24"/>
  <c r="D375" i="24"/>
  <c r="D376" i="24" s="1"/>
  <c r="D381" i="24" s="1"/>
  <c r="D362" i="24"/>
  <c r="D363" i="24" s="1"/>
  <c r="D359" i="24"/>
  <c r="D358" i="24"/>
  <c r="D351" i="24"/>
  <c r="D349" i="24"/>
  <c r="D344" i="24"/>
  <c r="D342" i="24"/>
  <c r="D343" i="24" s="1"/>
  <c r="D348" i="24" s="1"/>
  <c r="H336" i="24"/>
  <c r="D327" i="24"/>
  <c r="D326" i="24"/>
  <c r="D333" i="24" s="1"/>
  <c r="D325" i="24"/>
  <c r="H319" i="24"/>
  <c r="D320" i="24"/>
  <c r="D313" i="24"/>
  <c r="D311" i="24"/>
  <c r="D312" i="24" s="1"/>
  <c r="D299" i="24"/>
  <c r="D297" i="24"/>
  <c r="D298" i="24" s="1"/>
  <c r="D285" i="24"/>
  <c r="D283" i="24"/>
  <c r="D284" i="24" s="1"/>
  <c r="D271" i="24"/>
  <c r="D269" i="24"/>
  <c r="D270" i="24" s="1"/>
  <c r="D256" i="24"/>
  <c r="H254" i="24" s="1"/>
  <c r="D249" i="24"/>
  <c r="D245" i="24"/>
  <c r="D243" i="24"/>
  <c r="D242" i="24"/>
  <c r="H239" i="24"/>
  <c r="D234" i="24"/>
  <c r="D233" i="24"/>
  <c r="D230" i="24"/>
  <c r="D229" i="24"/>
  <c r="D223" i="24"/>
  <c r="D222" i="24"/>
  <c r="H219" i="24"/>
  <c r="D214" i="24"/>
  <c r="D213" i="24"/>
  <c r="D210" i="24"/>
  <c r="D209" i="24"/>
  <c r="D203" i="24"/>
  <c r="D202" i="24"/>
  <c r="D194" i="24"/>
  <c r="D193" i="24"/>
  <c r="D188" i="24"/>
  <c r="D187" i="24"/>
  <c r="D181" i="24"/>
  <c r="D180" i="24"/>
  <c r="H177" i="24"/>
  <c r="D172" i="24"/>
  <c r="D171" i="24"/>
  <c r="D170" i="24"/>
  <c r="D169" i="24"/>
  <c r="D166" i="24"/>
  <c r="D165" i="24"/>
  <c r="D159" i="24"/>
  <c r="D156" i="24"/>
  <c r="H155" i="24" s="1"/>
  <c r="D150" i="24"/>
  <c r="D149" i="24"/>
  <c r="D146" i="24"/>
  <c r="D145" i="24"/>
  <c r="D139" i="24"/>
  <c r="D138" i="24"/>
  <c r="H135" i="24" s="1"/>
  <c r="D131" i="24"/>
  <c r="D130" i="24"/>
  <c r="D129" i="24"/>
  <c r="H126" i="24"/>
  <c r="D125" i="24"/>
  <c r="D124" i="24"/>
  <c r="D120" i="24"/>
  <c r="D118" i="24"/>
  <c r="D119" i="24" s="1"/>
  <c r="D116" i="24"/>
  <c r="D115" i="24"/>
  <c r="D111" i="24"/>
  <c r="D110" i="24"/>
  <c r="D106" i="24"/>
  <c r="D105" i="24"/>
  <c r="D104" i="24"/>
  <c r="D100" i="24"/>
  <c r="D99" i="24"/>
  <c r="H96" i="24" s="1"/>
  <c r="D95" i="24"/>
  <c r="D91" i="24"/>
  <c r="D89" i="24"/>
  <c r="D90" i="24" s="1"/>
  <c r="D85" i="24"/>
  <c r="D84" i="24"/>
  <c r="D80" i="24"/>
  <c r="D76" i="24"/>
  <c r="D74" i="24"/>
  <c r="D75" i="24" s="1"/>
  <c r="D70" i="24"/>
  <c r="D69" i="24"/>
  <c r="D65" i="24"/>
  <c r="D61" i="24"/>
  <c r="D59" i="24"/>
  <c r="D60" i="24" s="1"/>
  <c r="D55" i="24"/>
  <c r="D54" i="24"/>
  <c r="D50" i="24"/>
  <c r="D48" i="24"/>
  <c r="D49" i="24" s="1"/>
  <c r="D44" i="24"/>
  <c r="D43" i="24"/>
  <c r="D42" i="24"/>
  <c r="D38" i="24"/>
  <c r="D37" i="24"/>
  <c r="D33" i="24"/>
  <c r="D26" i="24"/>
  <c r="D24" i="24"/>
  <c r="D25" i="24" s="1"/>
  <c r="H11" i="24"/>
  <c r="D158" i="24" l="1"/>
  <c r="D337" i="24"/>
  <c r="H475" i="24"/>
  <c r="D275" i="24"/>
  <c r="H503" i="24"/>
  <c r="H81" i="24"/>
  <c r="H199" i="24"/>
  <c r="H34" i="24"/>
  <c r="D317" i="24"/>
  <c r="D474" i="24"/>
  <c r="D463" i="24"/>
  <c r="H460" i="24" s="1"/>
  <c r="H587" i="24"/>
  <c r="H569" i="24" s="1"/>
  <c r="D289" i="24"/>
  <c r="D489" i="24"/>
  <c r="D478" i="24"/>
  <c r="H112" i="24"/>
  <c r="D364" i="24"/>
  <c r="H350" i="24" s="1"/>
  <c r="H549" i="24"/>
  <c r="H548" i="24" s="1"/>
  <c r="D303" i="24"/>
  <c r="H531" i="24"/>
  <c r="D264" i="24"/>
  <c r="H263" i="24" s="1"/>
  <c r="H415" i="24"/>
  <c r="D306" i="24"/>
  <c r="H305" i="24" s="1"/>
  <c r="D372" i="24"/>
  <c r="H371" i="24" s="1"/>
  <c r="D383" i="24"/>
  <c r="H382" i="24" s="1"/>
  <c r="H66" i="24"/>
  <c r="H394" i="24"/>
  <c r="D278" i="24"/>
  <c r="D432" i="24"/>
  <c r="D443" i="24"/>
  <c r="D448" i="24"/>
  <c r="H445" i="24" s="1"/>
  <c r="D459" i="24"/>
  <c r="H51" i="24"/>
  <c r="D19" i="24"/>
  <c r="H18" i="24" s="1"/>
  <c r="D292" i="24"/>
  <c r="H291" i="24" l="1"/>
  <c r="H277" i="24"/>
  <c r="H429" i="24"/>
  <c r="H428" i="24" s="1"/>
  <c r="H17" i="24"/>
  <c r="F595" i="24"/>
  <c r="H262" i="24" l="1"/>
  <c r="H595" i="24"/>
  <c r="F597" i="24"/>
  <c r="F596" i="24"/>
  <c r="F598" i="24" s="1"/>
  <c r="F599" i="24" l="1"/>
  <c r="F600" i="24" s="1"/>
  <c r="H597" i="24"/>
  <c r="H596" i="24"/>
  <c r="H598" i="24" l="1"/>
  <c r="G30" i="5" l="1"/>
  <c r="F28" i="5"/>
  <c r="G28" i="5" s="1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31" i="5" l="1"/>
  <c r="G32" i="5" s="1"/>
  <c r="G33" i="5" l="1"/>
  <c r="G34" i="5" s="1"/>
  <c r="G35" i="5" s="1"/>
  <c r="G36" i="5" l="1"/>
</calcChain>
</file>

<file path=xl/sharedStrings.xml><?xml version="1.0" encoding="utf-8"?>
<sst xmlns="http://schemas.openxmlformats.org/spreadsheetml/2006/main" count="1769" uniqueCount="784">
  <si>
    <t>ITEM</t>
  </si>
  <si>
    <t>DESCRIPCION</t>
  </si>
  <si>
    <t>UNIDAD</t>
  </si>
  <si>
    <t>CANTIDAD</t>
  </si>
  <si>
    <t>PRECIO UNI.</t>
  </si>
  <si>
    <t>SUBTOTAL</t>
  </si>
  <si>
    <t>m²</t>
  </si>
  <si>
    <t>1.1</t>
  </si>
  <si>
    <t>Total Neto</t>
  </si>
  <si>
    <t>TOTAL</t>
  </si>
  <si>
    <t>un</t>
  </si>
  <si>
    <t>Obras Previas</t>
  </si>
  <si>
    <t>2.1</t>
  </si>
  <si>
    <t>2.2</t>
  </si>
  <si>
    <t>ml</t>
  </si>
  <si>
    <t>gl</t>
  </si>
  <si>
    <t>UNID.</t>
  </si>
  <si>
    <t>CANT.</t>
  </si>
  <si>
    <t>P. UNITARIO</t>
  </si>
  <si>
    <t>SUB TOTAL</t>
  </si>
  <si>
    <t>Obras de electricicdad</t>
  </si>
  <si>
    <t>Planimetría</t>
  </si>
  <si>
    <t>Emplame</t>
  </si>
  <si>
    <t>Circuitos</t>
  </si>
  <si>
    <t>Canalizaciones</t>
  </si>
  <si>
    <t>Confeccion mallas a tierra (serv y protecc)</t>
  </si>
  <si>
    <t>montaje tableros</t>
  </si>
  <si>
    <t>lamparas decorat 100 wats</t>
  </si>
  <si>
    <t>Plafones</t>
  </si>
  <si>
    <t>lamparas faroles</t>
  </si>
  <si>
    <t>equipos embutidos led 40 w</t>
  </si>
  <si>
    <t>Equipos alta eficiencia 3 x 36</t>
  </si>
  <si>
    <t>Equipos fluorescentes 2x36</t>
  </si>
  <si>
    <t>Enchufes lam emergencia</t>
  </si>
  <si>
    <t>Interruptores</t>
  </si>
  <si>
    <t>Enchufes de fuerza</t>
  </si>
  <si>
    <t xml:space="preserve">GASTOS GENERALES </t>
  </si>
  <si>
    <t xml:space="preserve">UTILIDADES </t>
  </si>
  <si>
    <t>TOTAL NETO</t>
  </si>
  <si>
    <t>I.V.A. (19%)</t>
  </si>
  <si>
    <t>TOTAL GENERAL</t>
  </si>
  <si>
    <t>Equipo aluro</t>
  </si>
  <si>
    <t>1.2</t>
  </si>
  <si>
    <t>2.1.2</t>
  </si>
  <si>
    <t>2.1.3</t>
  </si>
  <si>
    <t>3</t>
  </si>
  <si>
    <t>2.2.1</t>
  </si>
  <si>
    <t>2.2.2</t>
  </si>
  <si>
    <t>3.1</t>
  </si>
  <si>
    <t>4</t>
  </si>
  <si>
    <t>4.1</t>
  </si>
  <si>
    <t>4.2</t>
  </si>
  <si>
    <t>4.3</t>
  </si>
  <si>
    <t>Retiro de escombros</t>
  </si>
  <si>
    <t>Polietileno</t>
  </si>
  <si>
    <t>Malla ACMA</t>
  </si>
  <si>
    <t>2.2.3</t>
  </si>
  <si>
    <t>3.2</t>
  </si>
  <si>
    <t>1.3</t>
  </si>
  <si>
    <t>1.4</t>
  </si>
  <si>
    <t>2.2.4</t>
  </si>
  <si>
    <t>2.1.4</t>
  </si>
  <si>
    <t>2.1.6</t>
  </si>
  <si>
    <t>2.1.7</t>
  </si>
  <si>
    <t>2.1.8</t>
  </si>
  <si>
    <t>2</t>
  </si>
  <si>
    <t>2.1.1</t>
  </si>
  <si>
    <t>2.2.6</t>
  </si>
  <si>
    <t>2.2.7</t>
  </si>
  <si>
    <t>2.2.8</t>
  </si>
  <si>
    <t>2.2.9</t>
  </si>
  <si>
    <t>3.1.1</t>
  </si>
  <si>
    <t>3.1.2</t>
  </si>
  <si>
    <t>3.1.3</t>
  </si>
  <si>
    <t>3.1.4</t>
  </si>
  <si>
    <t>3.2.1</t>
  </si>
  <si>
    <t>3.2.2</t>
  </si>
  <si>
    <t>3.2.3</t>
  </si>
  <si>
    <t>3.2.4</t>
  </si>
  <si>
    <t>3.2.5</t>
  </si>
  <si>
    <t>3.2.6</t>
  </si>
  <si>
    <t>3.2.7</t>
  </si>
  <si>
    <t xml:space="preserve">Exterior </t>
  </si>
  <si>
    <t>Pavimentos</t>
  </si>
  <si>
    <t>4.1.1</t>
  </si>
  <si>
    <t>4.1.2</t>
  </si>
  <si>
    <t>4.1.3</t>
  </si>
  <si>
    <t>4.1.4</t>
  </si>
  <si>
    <t>4.1.5</t>
  </si>
  <si>
    <t>4.1.6</t>
  </si>
  <si>
    <t>Demolicion de pavimentos</t>
  </si>
  <si>
    <t>4.2.1</t>
  </si>
  <si>
    <t>4.2.2</t>
  </si>
  <si>
    <t>4.2.3</t>
  </si>
  <si>
    <t>4.2.4</t>
  </si>
  <si>
    <t>4.2.5</t>
  </si>
  <si>
    <t>4.2.6</t>
  </si>
  <si>
    <t>4.2.7</t>
  </si>
  <si>
    <t>Conservacion garita de seguridad</t>
  </si>
  <si>
    <t>m³</t>
  </si>
  <si>
    <t>4.1.7</t>
  </si>
  <si>
    <t>4.1.8</t>
  </si>
  <si>
    <t>4.1.9</t>
  </si>
  <si>
    <t>Conservacion puerta Acceso</t>
  </si>
  <si>
    <t>1.5</t>
  </si>
  <si>
    <t xml:space="preserve">Obra previa movimiento mobiliario </t>
  </si>
  <si>
    <t>Aseo y entrega de la obra</t>
  </si>
  <si>
    <t>Instalacion de faenas</t>
  </si>
  <si>
    <t>3.1.5</t>
  </si>
  <si>
    <t>3.1.6</t>
  </si>
  <si>
    <t>3.1.7</t>
  </si>
  <si>
    <t>3.1.8</t>
  </si>
  <si>
    <t>3.2.8</t>
  </si>
  <si>
    <t>Reparacion muro perimetral exterior</t>
  </si>
  <si>
    <t>Letrero indicativo de la obra</t>
  </si>
  <si>
    <t>Cierres provisorios</t>
  </si>
  <si>
    <t>Conservacion puerta termo panel</t>
  </si>
  <si>
    <t xml:space="preserve">Retiro ventanas </t>
  </si>
  <si>
    <t>4.3.1</t>
  </si>
  <si>
    <t>4.3.2</t>
  </si>
  <si>
    <t>4.3.3</t>
  </si>
  <si>
    <t>4.3.4</t>
  </si>
  <si>
    <t>2.2.5</t>
  </si>
  <si>
    <t>Conservacion caja alero</t>
  </si>
  <si>
    <t>Conservacion de tapas camaras electricas y alcantarillado</t>
  </si>
  <si>
    <t>u</t>
  </si>
  <si>
    <t>m</t>
  </si>
  <si>
    <t>IVA (19%)</t>
  </si>
  <si>
    <t>Instalación guardapolvo de baldosa</t>
  </si>
  <si>
    <t>Preparacion y pintura superficies Muros</t>
  </si>
  <si>
    <t xml:space="preserve">Preparacion y pintura superficies cielos </t>
  </si>
  <si>
    <t>Box de Atención N°1</t>
  </si>
  <si>
    <t>Box de Atención N°2</t>
  </si>
  <si>
    <t>Box de Atención N°3</t>
  </si>
  <si>
    <t>2.3</t>
  </si>
  <si>
    <t>2.4</t>
  </si>
  <si>
    <t>Box de Atención N°4</t>
  </si>
  <si>
    <t>2.5</t>
  </si>
  <si>
    <t>Sala Multiuso</t>
  </si>
  <si>
    <t>2.6</t>
  </si>
  <si>
    <t>Sala Administrativa</t>
  </si>
  <si>
    <t>2.7</t>
  </si>
  <si>
    <t xml:space="preserve">Sala de Espera </t>
  </si>
  <si>
    <t>2.8</t>
  </si>
  <si>
    <t>2.9</t>
  </si>
  <si>
    <t>SS.HH. N°1</t>
  </si>
  <si>
    <t>SS.HH. N°2</t>
  </si>
  <si>
    <t>2.10</t>
  </si>
  <si>
    <t>2.11</t>
  </si>
  <si>
    <t xml:space="preserve">SS.HH. Universal </t>
  </si>
  <si>
    <t>SS.HH. N°3</t>
  </si>
  <si>
    <t>2.12</t>
  </si>
  <si>
    <t>2.13</t>
  </si>
  <si>
    <t xml:space="preserve">Pasillo </t>
  </si>
  <si>
    <t>2.14</t>
  </si>
  <si>
    <t>2.1.5</t>
  </si>
  <si>
    <t>2.2.10</t>
  </si>
  <si>
    <t>2.3.1</t>
  </si>
  <si>
    <t>2.3.2</t>
  </si>
  <si>
    <t>2.3.3</t>
  </si>
  <si>
    <t>2.3.4</t>
  </si>
  <si>
    <t>2.3.5</t>
  </si>
  <si>
    <t>2.3.6</t>
  </si>
  <si>
    <t>2.3.7</t>
  </si>
  <si>
    <t>2.3.8</t>
  </si>
  <si>
    <t>2.3.9</t>
  </si>
  <si>
    <t>2.3.10</t>
  </si>
  <si>
    <t>2.4.1</t>
  </si>
  <si>
    <t>2.4.2</t>
  </si>
  <si>
    <t>2.4.3</t>
  </si>
  <si>
    <t>2.4.4</t>
  </si>
  <si>
    <t>2.4.5</t>
  </si>
  <si>
    <t>2.4.6</t>
  </si>
  <si>
    <t>2.4.7</t>
  </si>
  <si>
    <t>2.4.8</t>
  </si>
  <si>
    <t>2.4.9</t>
  </si>
  <si>
    <t>2.4.10</t>
  </si>
  <si>
    <t>2.5.1</t>
  </si>
  <si>
    <t>2.5.2</t>
  </si>
  <si>
    <t>2.5.3</t>
  </si>
  <si>
    <t>2.5.4</t>
  </si>
  <si>
    <t>2.5.5</t>
  </si>
  <si>
    <t>2.5.6</t>
  </si>
  <si>
    <t>2.5.7</t>
  </si>
  <si>
    <t>2.5.8</t>
  </si>
  <si>
    <t>2.5.9</t>
  </si>
  <si>
    <t>2.5.10</t>
  </si>
  <si>
    <t>2.6.1</t>
  </si>
  <si>
    <t>2.6.2</t>
  </si>
  <si>
    <t>2.6.3</t>
  </si>
  <si>
    <t>2.6.4</t>
  </si>
  <si>
    <t>2.6.5</t>
  </si>
  <si>
    <t>2.6.6</t>
  </si>
  <si>
    <t>2.6.7</t>
  </si>
  <si>
    <t>2.6.8</t>
  </si>
  <si>
    <t>2.6.9</t>
  </si>
  <si>
    <t>2.6.10</t>
  </si>
  <si>
    <t>2.7.1</t>
  </si>
  <si>
    <t>2.7.2</t>
  </si>
  <si>
    <t>2.7.3</t>
  </si>
  <si>
    <t>2.7.4</t>
  </si>
  <si>
    <t>2.7.6</t>
  </si>
  <si>
    <t>2.7.7</t>
  </si>
  <si>
    <t>2.7.8</t>
  </si>
  <si>
    <t>2.8.1</t>
  </si>
  <si>
    <t>2.8.3</t>
  </si>
  <si>
    <t>2.8.2</t>
  </si>
  <si>
    <t>2.8.4</t>
  </si>
  <si>
    <t>2.8.5</t>
  </si>
  <si>
    <t xml:space="preserve">Retiro sanitario </t>
  </si>
  <si>
    <t xml:space="preserve">Retiro Lavamanos </t>
  </si>
  <si>
    <t>2.9.1</t>
  </si>
  <si>
    <t>2.9.2</t>
  </si>
  <si>
    <t>2.9.3</t>
  </si>
  <si>
    <t>2.9.4</t>
  </si>
  <si>
    <t>2.9.5</t>
  </si>
  <si>
    <t>2.9.6</t>
  </si>
  <si>
    <t>2.9.7</t>
  </si>
  <si>
    <t>2.9.8</t>
  </si>
  <si>
    <t>2.9.9</t>
  </si>
  <si>
    <t>2.9.10</t>
  </si>
  <si>
    <t>2.9.11</t>
  </si>
  <si>
    <t xml:space="preserve">Demolición tabique </t>
  </si>
  <si>
    <t>2.10.1</t>
  </si>
  <si>
    <t>2.10.2</t>
  </si>
  <si>
    <t>2.10.3</t>
  </si>
  <si>
    <t>2.10.4</t>
  </si>
  <si>
    <t>2.10.5</t>
  </si>
  <si>
    <t>2.10.6</t>
  </si>
  <si>
    <t>2.10.7</t>
  </si>
  <si>
    <t>2.10.8</t>
  </si>
  <si>
    <t>2.10.9</t>
  </si>
  <si>
    <t>2.10.10</t>
  </si>
  <si>
    <t>2.10.11</t>
  </si>
  <si>
    <t>2.10.12</t>
  </si>
  <si>
    <t>2.10.13</t>
  </si>
  <si>
    <t>2.10.14</t>
  </si>
  <si>
    <t xml:space="preserve">Instalación sanitario </t>
  </si>
  <si>
    <t>2.11.1</t>
  </si>
  <si>
    <t>2.11.2</t>
  </si>
  <si>
    <t>2.11.3</t>
  </si>
  <si>
    <t>2.11.4</t>
  </si>
  <si>
    <t>2.11.5</t>
  </si>
  <si>
    <t>2.11.6</t>
  </si>
  <si>
    <t>2.11.7</t>
  </si>
  <si>
    <t>2.11.8</t>
  </si>
  <si>
    <t>2.11.9</t>
  </si>
  <si>
    <t>2.11.10</t>
  </si>
  <si>
    <t>2.11.11</t>
  </si>
  <si>
    <t>2.11.12</t>
  </si>
  <si>
    <t>2.12.1</t>
  </si>
  <si>
    <t>2.12.2</t>
  </si>
  <si>
    <t>2.12.3</t>
  </si>
  <si>
    <t>2.12.4</t>
  </si>
  <si>
    <t>2.12.5</t>
  </si>
  <si>
    <t>2.12.6</t>
  </si>
  <si>
    <t>2.12.7</t>
  </si>
  <si>
    <t>2.12.8</t>
  </si>
  <si>
    <t>2.12.9</t>
  </si>
  <si>
    <t>2.12.10</t>
  </si>
  <si>
    <t>2.12.11</t>
  </si>
  <si>
    <t>SS.HH. N°4</t>
  </si>
  <si>
    <t>2.13.1</t>
  </si>
  <si>
    <t>2.13.2</t>
  </si>
  <si>
    <t>2.13.3</t>
  </si>
  <si>
    <t>2.13.4</t>
  </si>
  <si>
    <t>2.13.5</t>
  </si>
  <si>
    <t>2.13.6</t>
  </si>
  <si>
    <t>2.13.7</t>
  </si>
  <si>
    <t>2.13.8</t>
  </si>
  <si>
    <t>2.13.9</t>
  </si>
  <si>
    <t>2.13.10</t>
  </si>
  <si>
    <t>2.13.11</t>
  </si>
  <si>
    <t>2.14.1</t>
  </si>
  <si>
    <t>2.14.8</t>
  </si>
  <si>
    <t>2.14.4</t>
  </si>
  <si>
    <t>2.14.5</t>
  </si>
  <si>
    <t>2.14.6</t>
  </si>
  <si>
    <t>2.14.2</t>
  </si>
  <si>
    <t>2.14.3</t>
  </si>
  <si>
    <t>2.14.7</t>
  </si>
  <si>
    <t xml:space="preserve">Instalación espejo </t>
  </si>
  <si>
    <t>2.9.12</t>
  </si>
  <si>
    <t>2.9.13</t>
  </si>
  <si>
    <t>2.10.15</t>
  </si>
  <si>
    <t>2.10.16</t>
  </si>
  <si>
    <t>2.11.14</t>
  </si>
  <si>
    <t>2.11.15</t>
  </si>
  <si>
    <t>2.12.12</t>
  </si>
  <si>
    <t>2.12.13</t>
  </si>
  <si>
    <t>2.13.12</t>
  </si>
  <si>
    <t>2.13.13</t>
  </si>
  <si>
    <t xml:space="preserve">Box Odontologico </t>
  </si>
  <si>
    <t>3.7.7</t>
  </si>
  <si>
    <t xml:space="preserve">Box Médico </t>
  </si>
  <si>
    <t>3.3</t>
  </si>
  <si>
    <t>3.3.1</t>
  </si>
  <si>
    <t>3.3.2</t>
  </si>
  <si>
    <t>3.3.3</t>
  </si>
  <si>
    <t>3.3.4</t>
  </si>
  <si>
    <t>3.3.5</t>
  </si>
  <si>
    <t>3.3.6</t>
  </si>
  <si>
    <t>3.3.7</t>
  </si>
  <si>
    <t>3.3.8</t>
  </si>
  <si>
    <t xml:space="preserve">Box Nutricionista </t>
  </si>
  <si>
    <t>3.4</t>
  </si>
  <si>
    <t>3.4.1</t>
  </si>
  <si>
    <t>3.4.2</t>
  </si>
  <si>
    <t>3.4.3</t>
  </si>
  <si>
    <t>3.4.4</t>
  </si>
  <si>
    <t>3.4.5</t>
  </si>
  <si>
    <t>3.4.6</t>
  </si>
  <si>
    <t>3.4.7</t>
  </si>
  <si>
    <t>3.4.8</t>
  </si>
  <si>
    <t>3.5</t>
  </si>
  <si>
    <t>3.5.1</t>
  </si>
  <si>
    <t>3.5.2</t>
  </si>
  <si>
    <t>3.5.3</t>
  </si>
  <si>
    <t>3.5.4</t>
  </si>
  <si>
    <t>3.5.5</t>
  </si>
  <si>
    <t>3.5.6</t>
  </si>
  <si>
    <t>3.5.7</t>
  </si>
  <si>
    <t>3.5.8</t>
  </si>
  <si>
    <t xml:space="preserve">Retiro Lavaplatos </t>
  </si>
  <si>
    <t xml:space="preserve">Reposición lavaplatos </t>
  </si>
  <si>
    <t>3.5.9</t>
  </si>
  <si>
    <t>3.5.10</t>
  </si>
  <si>
    <t>3.6</t>
  </si>
  <si>
    <t>3.6.1</t>
  </si>
  <si>
    <t>3.6.2</t>
  </si>
  <si>
    <t>3.6.3</t>
  </si>
  <si>
    <t>3.6.4</t>
  </si>
  <si>
    <t>3.6.5</t>
  </si>
  <si>
    <t>3.6.6</t>
  </si>
  <si>
    <t>3.6.7</t>
  </si>
  <si>
    <t>3.6.8</t>
  </si>
  <si>
    <t>3.6.9</t>
  </si>
  <si>
    <t>SS.HH. N°5</t>
  </si>
  <si>
    <t>3.7</t>
  </si>
  <si>
    <t>3.7.1</t>
  </si>
  <si>
    <t>3.7.2</t>
  </si>
  <si>
    <t>3.7.3</t>
  </si>
  <si>
    <t>3.7.4</t>
  </si>
  <si>
    <t>3.7.5</t>
  </si>
  <si>
    <t>3.7.6</t>
  </si>
  <si>
    <t>3.7.8</t>
  </si>
  <si>
    <t>3.7.9</t>
  </si>
  <si>
    <t>3.7.10</t>
  </si>
  <si>
    <t>3.7.11</t>
  </si>
  <si>
    <t>3.7.12</t>
  </si>
  <si>
    <t>3.8</t>
  </si>
  <si>
    <t>3.8.1</t>
  </si>
  <si>
    <t>3.8.2</t>
  </si>
  <si>
    <t>3.8.3</t>
  </si>
  <si>
    <t>3.8.4</t>
  </si>
  <si>
    <t>3.8.5</t>
  </si>
  <si>
    <t>3.8.6</t>
  </si>
  <si>
    <t>3.9</t>
  </si>
  <si>
    <t>3.9.1</t>
  </si>
  <si>
    <t>3.9.2</t>
  </si>
  <si>
    <t>3.9.3</t>
  </si>
  <si>
    <t>3.9.4</t>
  </si>
  <si>
    <t>3.9.5</t>
  </si>
  <si>
    <t>3.9.6</t>
  </si>
  <si>
    <t>3.9.7</t>
  </si>
  <si>
    <t xml:space="preserve">Muro Perimetral Exterior </t>
  </si>
  <si>
    <t xml:space="preserve">Instalación letras acero inoxidable </t>
  </si>
  <si>
    <t>Instalación Concertina</t>
  </si>
  <si>
    <t xml:space="preserve">Conservación Portón </t>
  </si>
  <si>
    <t>4.2.8</t>
  </si>
  <si>
    <t>4.3.5</t>
  </si>
  <si>
    <t>4.3.6</t>
  </si>
  <si>
    <t>4.3.7</t>
  </si>
  <si>
    <t>4.3.8</t>
  </si>
  <si>
    <t>Muro Perimetral Interior</t>
  </si>
  <si>
    <t xml:space="preserve">Paisajismo </t>
  </si>
  <si>
    <t>4.4</t>
  </si>
  <si>
    <t>5</t>
  </si>
  <si>
    <t>5.1</t>
  </si>
  <si>
    <t>5.2</t>
  </si>
  <si>
    <t>4.1.10</t>
  </si>
  <si>
    <t>6</t>
  </si>
  <si>
    <t>Box N°1</t>
  </si>
  <si>
    <t>Retiro pavimento existente</t>
  </si>
  <si>
    <t>4.2.9</t>
  </si>
  <si>
    <t>4.2.10</t>
  </si>
  <si>
    <t>Box N°2</t>
  </si>
  <si>
    <t>4.3.9</t>
  </si>
  <si>
    <t>4.3.10</t>
  </si>
  <si>
    <t>4.4.1</t>
  </si>
  <si>
    <t>4.4.2</t>
  </si>
  <si>
    <t>4.4.3</t>
  </si>
  <si>
    <t>4.4.4</t>
  </si>
  <si>
    <t>4.4.5</t>
  </si>
  <si>
    <t>4.4.6</t>
  </si>
  <si>
    <t>4.4.7</t>
  </si>
  <si>
    <t>4.4.8</t>
  </si>
  <si>
    <t>4.4.9</t>
  </si>
  <si>
    <t>4.4.10</t>
  </si>
  <si>
    <t>4.5</t>
  </si>
  <si>
    <t>4.5.1</t>
  </si>
  <si>
    <t>4.5.2</t>
  </si>
  <si>
    <t>4.5.3</t>
  </si>
  <si>
    <t>4.5.4</t>
  </si>
  <si>
    <t>4.5.5</t>
  </si>
  <si>
    <t>4.5.6</t>
  </si>
  <si>
    <t>4.5.7</t>
  </si>
  <si>
    <t>4.5.8</t>
  </si>
  <si>
    <t>4.5.9</t>
  </si>
  <si>
    <t>3.10</t>
  </si>
  <si>
    <t>3.10.1</t>
  </si>
  <si>
    <t>3.10.2</t>
  </si>
  <si>
    <t>3.10.3</t>
  </si>
  <si>
    <t xml:space="preserve">PROFESIONAL DE PLANIFICACIÓN </t>
  </si>
  <si>
    <t xml:space="preserve">COMDES - Calama </t>
  </si>
  <si>
    <t xml:space="preserve">Trabajos exteriores </t>
  </si>
  <si>
    <t xml:space="preserve">Retiro de cubierta existente </t>
  </si>
  <si>
    <t xml:space="preserve">Reposición  de cubierta </t>
  </si>
  <si>
    <t>4.6</t>
  </si>
  <si>
    <t>4.6.1</t>
  </si>
  <si>
    <t>4.6.2</t>
  </si>
  <si>
    <t>4.6.3</t>
  </si>
  <si>
    <t>5.1.1</t>
  </si>
  <si>
    <t>5.1.2</t>
  </si>
  <si>
    <t>5.2.1</t>
  </si>
  <si>
    <t>5.2.2</t>
  </si>
  <si>
    <t>5.2.3</t>
  </si>
  <si>
    <t>5.2.4</t>
  </si>
  <si>
    <t>5.2.5</t>
  </si>
  <si>
    <t>5.2.6</t>
  </si>
  <si>
    <t>5.2.7</t>
  </si>
  <si>
    <t>5.3</t>
  </si>
  <si>
    <t>5.3.1</t>
  </si>
  <si>
    <t>5.3.2</t>
  </si>
  <si>
    <t>5.3.3</t>
  </si>
  <si>
    <t>6.1</t>
  </si>
  <si>
    <t>6.2</t>
  </si>
  <si>
    <t>7</t>
  </si>
  <si>
    <t>7.1</t>
  </si>
  <si>
    <t xml:space="preserve">Relleno y compactado </t>
  </si>
  <si>
    <t>4.6.4</t>
  </si>
  <si>
    <t>4.6.5</t>
  </si>
  <si>
    <t>4.6.6</t>
  </si>
  <si>
    <t>4.6.7</t>
  </si>
  <si>
    <t>3.1.9</t>
  </si>
  <si>
    <t>3.2.9</t>
  </si>
  <si>
    <t>3.3.9</t>
  </si>
  <si>
    <t>3.4.9</t>
  </si>
  <si>
    <t>3.5.11</t>
  </si>
  <si>
    <t>3.8.7</t>
  </si>
  <si>
    <t>PNAC</t>
  </si>
  <si>
    <t>2.2.11</t>
  </si>
  <si>
    <t>2.2.12</t>
  </si>
  <si>
    <t xml:space="preserve">Cierre de vano </t>
  </si>
  <si>
    <t>3.10.4</t>
  </si>
  <si>
    <t xml:space="preserve">Conservación puerta </t>
  </si>
  <si>
    <t>3.10.5</t>
  </si>
  <si>
    <t>4.1.11</t>
  </si>
  <si>
    <t>4.2.11</t>
  </si>
  <si>
    <t>4.3.11</t>
  </si>
  <si>
    <t>4.4.11</t>
  </si>
  <si>
    <t>2.7.5</t>
  </si>
  <si>
    <t>2.8.6</t>
  </si>
  <si>
    <t>2.8.7</t>
  </si>
  <si>
    <t xml:space="preserve">Conservación Tabique </t>
  </si>
  <si>
    <t>Vidrio reforzado 10 [mm]</t>
  </si>
  <si>
    <t>2.15</t>
  </si>
  <si>
    <t>2.15.1</t>
  </si>
  <si>
    <t>Limpieza Sidding</t>
  </si>
  <si>
    <t>Box Ginecológico</t>
  </si>
  <si>
    <t>Reposicion barra articulada</t>
  </si>
  <si>
    <t xml:space="preserve">Reposicion barra fija </t>
  </si>
  <si>
    <t>Pabellón N°2</t>
  </si>
  <si>
    <t>3.10.6</t>
  </si>
  <si>
    <t>Pabellón 3</t>
  </si>
  <si>
    <t xml:space="preserve">Habilitación de vano </t>
  </si>
  <si>
    <t>Instalación Porcelanato</t>
  </si>
  <si>
    <t xml:space="preserve">Reparacion muro perimetral interior </t>
  </si>
  <si>
    <t xml:space="preserve">Conservacion jardineras </t>
  </si>
  <si>
    <t>2.14.9</t>
  </si>
  <si>
    <t>Instalación puerta Corredera</t>
  </si>
  <si>
    <t>3.5.12</t>
  </si>
  <si>
    <t>3.5.13</t>
  </si>
  <si>
    <t xml:space="preserve">Habilitación vano Puerta </t>
  </si>
  <si>
    <t xml:space="preserve">Box Kinesiología </t>
  </si>
  <si>
    <t xml:space="preserve">Retiro Receptáculo ducha </t>
  </si>
  <si>
    <t>3.7.13</t>
  </si>
  <si>
    <t>3.7.14</t>
  </si>
  <si>
    <t>4.6.8</t>
  </si>
  <si>
    <t>4.6.9</t>
  </si>
  <si>
    <t>Comedor Funcionarios</t>
  </si>
  <si>
    <t xml:space="preserve">Sala de Rehabilitación </t>
  </si>
  <si>
    <t xml:space="preserve">Reposición Lavaplatos </t>
  </si>
  <si>
    <t xml:space="preserve">Retiro Tabique </t>
  </si>
  <si>
    <t xml:space="preserve">Baños </t>
  </si>
  <si>
    <t>4.6.10</t>
  </si>
  <si>
    <t>4.6.11</t>
  </si>
  <si>
    <t>4.6.12</t>
  </si>
  <si>
    <t>4.6.13</t>
  </si>
  <si>
    <t>4.6.14</t>
  </si>
  <si>
    <t>4.6.15</t>
  </si>
  <si>
    <t>4.1.12</t>
  </si>
  <si>
    <t>3.10.7</t>
  </si>
  <si>
    <t>3.10.8</t>
  </si>
  <si>
    <t>3.10.9</t>
  </si>
  <si>
    <t>3.10.10</t>
  </si>
  <si>
    <t>3.10.11</t>
  </si>
  <si>
    <t>3.10.12</t>
  </si>
  <si>
    <t>3.10.13</t>
  </si>
  <si>
    <t xml:space="preserve">Instalación Lavandino </t>
  </si>
  <si>
    <t>3.10.14</t>
  </si>
  <si>
    <t>4.7</t>
  </si>
  <si>
    <t>4.7.1</t>
  </si>
  <si>
    <t>4.7.2</t>
  </si>
  <si>
    <t>4.7.3</t>
  </si>
  <si>
    <t>4.7.4</t>
  </si>
  <si>
    <t>4.7.5</t>
  </si>
  <si>
    <t>4.7.6</t>
  </si>
  <si>
    <t>4.7.7</t>
  </si>
  <si>
    <t>4.7.8</t>
  </si>
  <si>
    <t>4.7.9</t>
  </si>
  <si>
    <t>4.6.16</t>
  </si>
  <si>
    <t>4.6.17</t>
  </si>
  <si>
    <t>4.6.18</t>
  </si>
  <si>
    <t>4.6.19</t>
  </si>
  <si>
    <t>4.6.20</t>
  </si>
  <si>
    <t>4.6.21</t>
  </si>
  <si>
    <t>4.6.22</t>
  </si>
  <si>
    <t>4.6.23</t>
  </si>
  <si>
    <t xml:space="preserve">Dispensador de jabón </t>
  </si>
  <si>
    <t xml:space="preserve">Dispensador de papel </t>
  </si>
  <si>
    <t>3.6.10</t>
  </si>
  <si>
    <t>Conservación sala REAS</t>
  </si>
  <si>
    <t xml:space="preserve">Grifería Ducha </t>
  </si>
  <si>
    <t>3.10.15</t>
  </si>
  <si>
    <t>4.6.24</t>
  </si>
  <si>
    <t xml:space="preserve">Griferia Ducha </t>
  </si>
  <si>
    <t xml:space="preserve">Reposición Caseta de gas </t>
  </si>
  <si>
    <t>4.7.10</t>
  </si>
  <si>
    <t>4.7.11</t>
  </si>
  <si>
    <t>4.7.12</t>
  </si>
  <si>
    <t>3.11</t>
  </si>
  <si>
    <t>Preparacion y pintura superficies Muros (exterior)</t>
  </si>
  <si>
    <t>3.10.16</t>
  </si>
  <si>
    <t xml:space="preserve">Reparación tabiques baños </t>
  </si>
  <si>
    <t>2.1.9</t>
  </si>
  <si>
    <t>2.1.10</t>
  </si>
  <si>
    <t xml:space="preserve">Conservación Tabique atención publico </t>
  </si>
  <si>
    <t>2.6.11</t>
  </si>
  <si>
    <t xml:space="preserve">Instalación Mudador </t>
  </si>
  <si>
    <t>2.1.11</t>
  </si>
  <si>
    <t xml:space="preserve">Dispensador de jabon </t>
  </si>
  <si>
    <t xml:space="preserve">Dispensador de Papel </t>
  </si>
  <si>
    <t>2.1.12</t>
  </si>
  <si>
    <t xml:space="preserve">Cerámica muro </t>
  </si>
  <si>
    <t>2.2.13</t>
  </si>
  <si>
    <t>2.3.11</t>
  </si>
  <si>
    <t>2.4.11</t>
  </si>
  <si>
    <t>2.5.11</t>
  </si>
  <si>
    <t>2.6.12</t>
  </si>
  <si>
    <t>2.9.14</t>
  </si>
  <si>
    <t>2.9.15</t>
  </si>
  <si>
    <t>2.9.16</t>
  </si>
  <si>
    <t>2.9.17</t>
  </si>
  <si>
    <t>2.10.17</t>
  </si>
  <si>
    <t>2.10.18</t>
  </si>
  <si>
    <t>2.10.19</t>
  </si>
  <si>
    <t>2.11.16</t>
  </si>
  <si>
    <t>2.11.17</t>
  </si>
  <si>
    <t>2.11.18</t>
  </si>
  <si>
    <t>2.11.19</t>
  </si>
  <si>
    <t>2.12.14</t>
  </si>
  <si>
    <t>2.12.15</t>
  </si>
  <si>
    <t>2.12.16</t>
  </si>
  <si>
    <t>2.12.17</t>
  </si>
  <si>
    <t>2.13.14</t>
  </si>
  <si>
    <t>2.13.15</t>
  </si>
  <si>
    <t>2.13.16</t>
  </si>
  <si>
    <t>2.13.17</t>
  </si>
  <si>
    <t>3.7.15</t>
  </si>
  <si>
    <t>3.7.16</t>
  </si>
  <si>
    <t>3.7.17</t>
  </si>
  <si>
    <t>3.7.18</t>
  </si>
  <si>
    <t>3.1.10</t>
  </si>
  <si>
    <t>3.2.10</t>
  </si>
  <si>
    <t>3.3.10</t>
  </si>
  <si>
    <t>3.4.10</t>
  </si>
  <si>
    <t>3.11.1</t>
  </si>
  <si>
    <t>3.11.2</t>
  </si>
  <si>
    <t>3.11.3</t>
  </si>
  <si>
    <t>3.11.4</t>
  </si>
  <si>
    <t>3.11.5</t>
  </si>
  <si>
    <t>3.11.6</t>
  </si>
  <si>
    <t>Instalación de  porcelantano (Incluye guardapolvo)</t>
  </si>
  <si>
    <t xml:space="preserve">Instalación de  porcelanato </t>
  </si>
  <si>
    <t xml:space="preserve">Instalación cerámica Muro </t>
  </si>
  <si>
    <t>Instalación Calefon 11 litros</t>
  </si>
  <si>
    <t xml:space="preserve">Conservación  línea de gas </t>
  </si>
  <si>
    <t>Pabellón N°1</t>
  </si>
  <si>
    <t>Conservación ventanas termopanel</t>
  </si>
  <si>
    <t xml:space="preserve">Reposición Protecciones </t>
  </si>
  <si>
    <t xml:space="preserve">Reposición Lavamanos </t>
  </si>
  <si>
    <t xml:space="preserve">Conservación Línea desagüe </t>
  </si>
  <si>
    <t xml:space="preserve">Conservación Línea Agua potable </t>
  </si>
  <si>
    <t>4.6.25</t>
  </si>
  <si>
    <t xml:space="preserve">Preparación y Pintura de superficie muros </t>
  </si>
  <si>
    <t>Pulido baldosas microvibradas</t>
  </si>
  <si>
    <t xml:space="preserve">Sala Multipropósito </t>
  </si>
  <si>
    <t xml:space="preserve">Dispansador papel higiénico </t>
  </si>
  <si>
    <t>Botiquín</t>
  </si>
  <si>
    <t xml:space="preserve">Plafón </t>
  </si>
  <si>
    <t xml:space="preserve">Reposición Receptáculo ducha </t>
  </si>
  <si>
    <t>Preparacion de superficies e instalación cerámica muro</t>
  </si>
  <si>
    <t>PRESUPUESTO</t>
  </si>
  <si>
    <t xml:space="preserve">Conservación Pasamanos </t>
  </si>
  <si>
    <t>2.14.10</t>
  </si>
  <si>
    <t>3.9.8</t>
  </si>
  <si>
    <t>Subtotal OO.CC.</t>
  </si>
  <si>
    <t>Conservación puerta (baño)</t>
  </si>
  <si>
    <t>2.14.11</t>
  </si>
  <si>
    <t>Conservación puerta doble acceso</t>
  </si>
  <si>
    <t>3.10.17</t>
  </si>
  <si>
    <t>Hormigon G-20</t>
  </si>
  <si>
    <t>Conservación Tabique (bodega)</t>
  </si>
  <si>
    <t>Conservación puerta (bodega)</t>
  </si>
  <si>
    <t>Poda arboles</t>
  </si>
  <si>
    <t xml:space="preserve">Calama </t>
  </si>
  <si>
    <t>FNDR</t>
  </si>
  <si>
    <t>Rev 4</t>
  </si>
  <si>
    <t>BIP.:40025865</t>
  </si>
  <si>
    <t xml:space="preserve">CONSERVACIÓN CECOSF ALEMANIA, CALAMA </t>
  </si>
  <si>
    <t>C.2.2.2.:[Cod. Int.: CS.C33.CCS.ALEMANIA.PPTO.Rev4]</t>
  </si>
  <si>
    <t>Conservación eléctrica</t>
  </si>
  <si>
    <t xml:space="preserve">Enchufe  </t>
  </si>
  <si>
    <t xml:space="preserve">Interruptor </t>
  </si>
  <si>
    <t>3.1.11</t>
  </si>
  <si>
    <t>3.1.12</t>
  </si>
  <si>
    <t>3.1.13</t>
  </si>
  <si>
    <t>3.2.11</t>
  </si>
  <si>
    <t>3.2.12</t>
  </si>
  <si>
    <t>3.2.13</t>
  </si>
  <si>
    <t>3.3.11</t>
  </si>
  <si>
    <t>3.3.12</t>
  </si>
  <si>
    <t>3.3.13</t>
  </si>
  <si>
    <t>3.4.11</t>
  </si>
  <si>
    <t>3.4.12</t>
  </si>
  <si>
    <t>3.4.13</t>
  </si>
  <si>
    <t>3.5.14</t>
  </si>
  <si>
    <t>3.5.15</t>
  </si>
  <si>
    <t>3.5.16</t>
  </si>
  <si>
    <t>3.6.11</t>
  </si>
  <si>
    <t>3.6.12</t>
  </si>
  <si>
    <t>3.6.13</t>
  </si>
  <si>
    <t>3.7.19</t>
  </si>
  <si>
    <t>3.7.20</t>
  </si>
  <si>
    <t>3.8.8</t>
  </si>
  <si>
    <t>3.8.9</t>
  </si>
  <si>
    <t>3.8.10</t>
  </si>
  <si>
    <t>3.9.9</t>
  </si>
  <si>
    <t>3.9.10</t>
  </si>
  <si>
    <t>3.9.11</t>
  </si>
  <si>
    <t>3.10.18</t>
  </si>
  <si>
    <t>3.10.19</t>
  </si>
  <si>
    <t>4.1.13</t>
  </si>
  <si>
    <t>4.1.14</t>
  </si>
  <si>
    <t>4.1.15</t>
  </si>
  <si>
    <t>4.2.12</t>
  </si>
  <si>
    <t>4.2.13</t>
  </si>
  <si>
    <t>4.2.14</t>
  </si>
  <si>
    <t>4.3.12</t>
  </si>
  <si>
    <t>4.3.13</t>
  </si>
  <si>
    <t>4.3.14</t>
  </si>
  <si>
    <t>4.4.12</t>
  </si>
  <si>
    <t>4.4.13</t>
  </si>
  <si>
    <t>4.4.14</t>
  </si>
  <si>
    <t>4.5.10</t>
  </si>
  <si>
    <t>4.5.11</t>
  </si>
  <si>
    <t>4.5.12</t>
  </si>
  <si>
    <t>4.6.26</t>
  </si>
  <si>
    <t>4.6.27</t>
  </si>
  <si>
    <t>2.1.13</t>
  </si>
  <si>
    <t>2.1.14</t>
  </si>
  <si>
    <t>2.1.15</t>
  </si>
  <si>
    <t>2.2.14</t>
  </si>
  <si>
    <t>2.2.15</t>
  </si>
  <si>
    <t>2.2.16</t>
  </si>
  <si>
    <t>2.3.12</t>
  </si>
  <si>
    <t>2.3.13</t>
  </si>
  <si>
    <t>2.3.14</t>
  </si>
  <si>
    <t>2.4.12</t>
  </si>
  <si>
    <t>2.4.13</t>
  </si>
  <si>
    <t>2.4.14</t>
  </si>
  <si>
    <t>2.5.12</t>
  </si>
  <si>
    <t>2.5.13</t>
  </si>
  <si>
    <t>2.5.14</t>
  </si>
  <si>
    <t>2.6.13</t>
  </si>
  <si>
    <t>2.6.14</t>
  </si>
  <si>
    <t>2.6.15</t>
  </si>
  <si>
    <t>2.7.9</t>
  </si>
  <si>
    <t>2.7.10</t>
  </si>
  <si>
    <t>2.7.11</t>
  </si>
  <si>
    <t>2.8.8</t>
  </si>
  <si>
    <t>2.7.12</t>
  </si>
  <si>
    <t>2.7.13</t>
  </si>
  <si>
    <t>2.9.18</t>
  </si>
  <si>
    <t>2.9.19</t>
  </si>
  <si>
    <t>2.10.20</t>
  </si>
  <si>
    <t>2.10.21</t>
  </si>
  <si>
    <t>2.11.20</t>
  </si>
  <si>
    <t>2.11.21</t>
  </si>
  <si>
    <t>2.12.18</t>
  </si>
  <si>
    <t>2.12.19</t>
  </si>
  <si>
    <t>2.13.18</t>
  </si>
  <si>
    <t>2.13.19</t>
  </si>
  <si>
    <t>2.14.12</t>
  </si>
  <si>
    <t>2.14.13</t>
  </si>
  <si>
    <t>2.14.14</t>
  </si>
  <si>
    <t>jpo/apa/cbc</t>
  </si>
  <si>
    <t>Chacabuco N°3076, Población Alemania, Calama</t>
  </si>
  <si>
    <t>2.11.13</t>
  </si>
  <si>
    <t>3.10.20</t>
  </si>
  <si>
    <t>2.15.2</t>
  </si>
  <si>
    <t>2.15.3</t>
  </si>
  <si>
    <t>Iluminación</t>
  </si>
  <si>
    <t>3.11.7</t>
  </si>
  <si>
    <t>3.11.8</t>
  </si>
  <si>
    <t>4.7.13</t>
  </si>
  <si>
    <t>4.7.14</t>
  </si>
  <si>
    <t xml:space="preserve">Estanques </t>
  </si>
  <si>
    <t>Reparación superficies</t>
  </si>
  <si>
    <t xml:space="preserve">Preparación de superficies y pintura </t>
  </si>
  <si>
    <t xml:space="preserve">Sala de  Bombas </t>
  </si>
  <si>
    <t>Retiro de bombas</t>
  </si>
  <si>
    <t>Instalacion de bombas</t>
  </si>
  <si>
    <t xml:space="preserve">Conservación electrica </t>
  </si>
  <si>
    <t>Retiro de cableado y canalizacion</t>
  </si>
  <si>
    <t xml:space="preserve">Instalacion de cableado y canalizacion </t>
  </si>
  <si>
    <t>Cajas electricas</t>
  </si>
  <si>
    <t>Interruptor</t>
  </si>
  <si>
    <t xml:space="preserve">Iluminación </t>
  </si>
  <si>
    <t>6.3</t>
  </si>
  <si>
    <t>Estanque y sala de bombas</t>
  </si>
  <si>
    <t>5.3.4</t>
  </si>
  <si>
    <t>5.3.5</t>
  </si>
  <si>
    <t>5.3.6</t>
  </si>
  <si>
    <t xml:space="preserve">Soporte Bomba </t>
  </si>
  <si>
    <t>5.4</t>
  </si>
  <si>
    <t>5.4.1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</si>
  <si>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</si>
  <si>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</si>
  <si>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</si>
  <si>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</si>
  <si>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</si>
  <si>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</si>
  <si>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</si>
  <si>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</si>
  <si>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6.2.1</t>
  </si>
  <si>
    <t>6.2.2</t>
  </si>
  <si>
    <t>6.2.3</t>
  </si>
  <si>
    <t>6.2.4</t>
  </si>
  <si>
    <t>6.2.5</t>
  </si>
  <si>
    <t>6.2.6</t>
  </si>
  <si>
    <t>6.2.7</t>
  </si>
  <si>
    <t>6.3.1</t>
  </si>
  <si>
    <t>6.3.2</t>
  </si>
  <si>
    <t>6.3.3</t>
  </si>
  <si>
    <t>7.2</t>
  </si>
  <si>
    <t xml:space="preserve">Estanque Hidroneumatico </t>
  </si>
  <si>
    <t xml:space="preserve">Elementos de control </t>
  </si>
  <si>
    <t xml:space="preserve">Tablero de control </t>
  </si>
  <si>
    <t>2.15.4</t>
  </si>
  <si>
    <t>2.15.5</t>
  </si>
  <si>
    <t>2.15.6</t>
  </si>
  <si>
    <t>2.15.7</t>
  </si>
  <si>
    <t>Conservación Línea Agua potable (caliente)</t>
  </si>
  <si>
    <t>3.11.9</t>
  </si>
  <si>
    <t>3.11.10</t>
  </si>
  <si>
    <t>3.11.11</t>
  </si>
  <si>
    <t>3.11.12</t>
  </si>
  <si>
    <t>Conservación Línea Agua potable (fría)</t>
  </si>
  <si>
    <t>4.7.15</t>
  </si>
  <si>
    <t>4.7.16</t>
  </si>
  <si>
    <t>G.G.(__%)</t>
  </si>
  <si>
    <t>Utilidades(__%)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</si>
</sst>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42" formatCode="_ &quot;$&quot;* #,##0_ ;_ &quot;$&quot;* \-#,##0_ ;_ &quot;$&quot;* &quot;-&quot;_ ;_ @_ "/>
    <numFmt numFmtId="41" formatCode="_ * #,##0_ ;_ * \-#,##0_ ;_ * &quot;-&quot;_ ;_ @_ "/>
    <numFmt numFmtId="44" formatCode="_ &quot;$&quot;* #,##0.00_ ;_ &quot;$&quot;* \-#,##0.00_ ;_ &quot;$&quot;* &quot;-&quot;??_ ;_ @_ "/>
    <numFmt numFmtId="164" formatCode="&quot;$&quot;#,##0"/>
    <numFmt numFmtId="165" formatCode="_-&quot;$&quot;\ * #,##0_-;\-&quot;$&quot;\ * #,##0_-;_-&quot;$&quot;\ * &quot;-&quot;??_-;_-@_-"/>
    <numFmt numFmtId="166" formatCode="#,##0.0"/>
    <numFmt numFmtId="167" formatCode="_-&quot;$&quot;\ * #,##0.00_-;\-&quot;$&quot;\ * #,##0.00_-;_-&quot;$&quot;\ * &quot;-&quot;??_-;_-@_-"/>
    <numFmt numFmtId="168" formatCode="0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1"/>
      <color indexed="8"/>
      <name val="Calibri Light"/>
      <family val="2"/>
      <scheme val="major"/>
    </font>
    <font>
      <i/>
      <sz val="11"/>
      <name val="Calibri Light"/>
      <family val="2"/>
      <scheme val="major"/>
    </font>
    <font>
      <b/>
      <sz val="12"/>
      <color indexed="8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2"/>
      <color theme="1" tint="0.34998626667073579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2"/>
      <color rgb="FF002060"/>
      <name val="Calibri Light"/>
      <family val="2"/>
      <scheme val="major"/>
    </font>
    <font>
      <sz val="11"/>
      <name val="Calibri Light"/>
      <family val="2"/>
      <scheme val="major"/>
    </font>
    <font>
      <sz val="11"/>
      <color theme="1"/>
      <name val="Arial Narrow"/>
      <family val="2"/>
    </font>
    <font>
      <sz val="9"/>
      <color theme="1" tint="0.249977111117893"/>
      <name val="Calibri Light"/>
      <family val="2"/>
      <scheme val="major"/>
    </font>
    <font>
      <b/>
      <sz val="14"/>
      <name val="Calibri Light"/>
      <family val="2"/>
      <scheme val="major"/>
    </font>
    <font>
      <b/>
      <sz val="12"/>
      <name val="Calibri Light"/>
      <family val="2"/>
      <scheme val="major"/>
    </font>
    <font>
      <i/>
      <sz val="11"/>
      <color theme="1"/>
      <name val="Calibri Light"/>
      <family val="2"/>
      <scheme val="major"/>
    </font>
    <font>
      <i/>
      <sz val="10"/>
      <name val="Calibri Light"/>
      <family val="2"/>
      <scheme val="major"/>
    </font>
    <font>
      <sz val="11"/>
      <color theme="1"/>
      <name val="Calibri Light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151">
    <xf numFmtId="0" fontId="0" fillId="0" borderId="0" xfId="0"/>
    <xf numFmtId="0" fontId="2" fillId="0" borderId="0" xfId="2"/>
    <xf numFmtId="0" fontId="3" fillId="0" borderId="0" xfId="2" applyFont="1"/>
    <xf numFmtId="2" fontId="2" fillId="0" borderId="0" xfId="2" applyNumberFormat="1"/>
    <xf numFmtId="0" fontId="2" fillId="0" borderId="0" xfId="2" applyFont="1"/>
    <xf numFmtId="0" fontId="3" fillId="0" borderId="4" xfId="2" applyFont="1" applyBorder="1" applyAlignment="1" applyProtection="1">
      <alignment horizontal="center"/>
    </xf>
    <xf numFmtId="0" fontId="4" fillId="0" borderId="5" xfId="2" applyFont="1" applyBorder="1" applyAlignment="1" applyProtection="1">
      <alignment horizontal="center"/>
    </xf>
    <xf numFmtId="2" fontId="4" fillId="0" borderId="6" xfId="2" applyNumberFormat="1" applyFont="1" applyBorder="1" applyAlignment="1" applyProtection="1">
      <alignment horizontal="center"/>
    </xf>
    <xf numFmtId="166" fontId="4" fillId="0" borderId="5" xfId="2" applyNumberFormat="1" applyFont="1" applyBorder="1" applyAlignment="1" applyProtection="1">
      <alignment horizontal="center"/>
    </xf>
    <xf numFmtId="166" fontId="4" fillId="0" borderId="7" xfId="2" applyNumberFormat="1" applyFont="1" applyBorder="1" applyAlignment="1">
      <alignment horizontal="center"/>
    </xf>
    <xf numFmtId="0" fontId="5" fillId="0" borderId="2" xfId="2" applyFont="1" applyFill="1" applyBorder="1" applyAlignment="1" applyProtection="1">
      <alignment horizontal="left"/>
    </xf>
    <xf numFmtId="0" fontId="2" fillId="0" borderId="1" xfId="2" applyFill="1" applyBorder="1"/>
    <xf numFmtId="0" fontId="5" fillId="0" borderId="1" xfId="2" applyFont="1" applyFill="1" applyBorder="1" applyAlignment="1" applyProtection="1">
      <alignment horizontal="center"/>
    </xf>
    <xf numFmtId="2" fontId="5" fillId="0" borderId="1" xfId="2" applyNumberFormat="1" applyFont="1" applyFill="1" applyBorder="1" applyAlignment="1" applyProtection="1">
      <alignment horizontal="center"/>
    </xf>
    <xf numFmtId="165" fontId="5" fillId="0" borderId="1" xfId="3" applyNumberFormat="1" applyFont="1" applyFill="1" applyBorder="1" applyAlignment="1" applyProtection="1">
      <alignment horizontal="center"/>
    </xf>
    <xf numFmtId="165" fontId="5" fillId="0" borderId="3" xfId="3" applyNumberFormat="1" applyFont="1" applyFill="1" applyBorder="1" applyAlignment="1">
      <alignment horizontal="center"/>
    </xf>
    <xf numFmtId="0" fontId="2" fillId="0" borderId="0" xfId="2" applyFill="1"/>
    <xf numFmtId="0" fontId="5" fillId="0" borderId="2" xfId="2" applyFont="1" applyBorder="1" applyAlignment="1" applyProtection="1">
      <alignment horizontal="left"/>
    </xf>
    <xf numFmtId="0" fontId="2" fillId="0" borderId="1" xfId="2" applyBorder="1"/>
    <xf numFmtId="2" fontId="5" fillId="0" borderId="1" xfId="2" applyNumberFormat="1" applyFont="1" applyBorder="1" applyAlignment="1" applyProtection="1">
      <alignment horizontal="center"/>
    </xf>
    <xf numFmtId="165" fontId="5" fillId="0" borderId="1" xfId="3" applyNumberFormat="1" applyFont="1" applyBorder="1" applyAlignment="1" applyProtection="1">
      <alignment horizontal="center"/>
    </xf>
    <xf numFmtId="165" fontId="5" fillId="0" borderId="3" xfId="3" applyNumberFormat="1" applyFont="1" applyBorder="1" applyAlignment="1">
      <alignment horizontal="center"/>
    </xf>
    <xf numFmtId="0" fontId="4" fillId="0" borderId="8" xfId="2" applyFont="1" applyBorder="1" applyAlignment="1" applyProtection="1">
      <alignment horizontal="left"/>
    </xf>
    <xf numFmtId="2" fontId="5" fillId="0" borderId="9" xfId="2" applyNumberFormat="1" applyFont="1" applyBorder="1" applyAlignment="1" applyProtection="1">
      <alignment horizontal="center"/>
    </xf>
    <xf numFmtId="165" fontId="5" fillId="0" borderId="10" xfId="3" applyNumberFormat="1" applyFont="1" applyBorder="1" applyAlignment="1" applyProtection="1">
      <alignment horizontal="center"/>
    </xf>
    <xf numFmtId="165" fontId="4" fillId="0" borderId="11" xfId="3" applyNumberFormat="1" applyFont="1" applyBorder="1" applyAlignment="1">
      <alignment horizontal="center"/>
    </xf>
    <xf numFmtId="0" fontId="4" fillId="0" borderId="12" xfId="2" applyFont="1" applyBorder="1" applyAlignment="1" applyProtection="1">
      <alignment horizontal="left"/>
    </xf>
    <xf numFmtId="2" fontId="5" fillId="0" borderId="13" xfId="2" applyNumberFormat="1" applyFont="1" applyBorder="1" applyAlignment="1" applyProtection="1">
      <alignment horizontal="center"/>
    </xf>
    <xf numFmtId="9" fontId="5" fillId="0" borderId="14" xfId="4" applyFont="1" applyBorder="1" applyAlignment="1" applyProtection="1">
      <alignment horizontal="center"/>
    </xf>
    <xf numFmtId="165" fontId="4" fillId="0" borderId="15" xfId="3" applyNumberFormat="1" applyFont="1" applyBorder="1" applyAlignment="1">
      <alignment horizontal="center"/>
    </xf>
    <xf numFmtId="0" fontId="4" fillId="0" borderId="16" xfId="2" applyFont="1" applyBorder="1" applyAlignment="1" applyProtection="1">
      <alignment horizontal="left"/>
    </xf>
    <xf numFmtId="2" fontId="5" fillId="0" borderId="17" xfId="2" applyNumberFormat="1" applyFont="1" applyBorder="1" applyAlignment="1" applyProtection="1">
      <alignment horizontal="center"/>
    </xf>
    <xf numFmtId="165" fontId="5" fillId="0" borderId="7" xfId="3" applyNumberFormat="1" applyFont="1" applyBorder="1" applyAlignment="1" applyProtection="1">
      <alignment horizontal="center"/>
    </xf>
    <xf numFmtId="165" fontId="4" fillId="0" borderId="4" xfId="3" applyNumberFormat="1" applyFont="1" applyBorder="1" applyAlignment="1">
      <alignment horizontal="center"/>
    </xf>
    <xf numFmtId="0" fontId="4" fillId="0" borderId="18" xfId="2" applyFont="1" applyBorder="1" applyAlignment="1" applyProtection="1">
      <alignment horizontal="left"/>
    </xf>
    <xf numFmtId="2" fontId="4" fillId="0" borderId="19" xfId="2" applyNumberFormat="1" applyFont="1" applyBorder="1" applyAlignment="1" applyProtection="1">
      <alignment horizontal="center"/>
    </xf>
    <xf numFmtId="165" fontId="5" fillId="0" borderId="20" xfId="3" applyNumberFormat="1" applyFont="1" applyBorder="1" applyAlignment="1" applyProtection="1">
      <alignment horizontal="center"/>
    </xf>
    <xf numFmtId="165" fontId="4" fillId="0" borderId="21" xfId="3" applyNumberFormat="1" applyFont="1" applyBorder="1" applyAlignment="1">
      <alignment horizontal="center"/>
    </xf>
    <xf numFmtId="165" fontId="2" fillId="0" borderId="0" xfId="2" applyNumberFormat="1"/>
    <xf numFmtId="0" fontId="3" fillId="0" borderId="0" xfId="2" applyFont="1" applyAlignment="1">
      <alignment horizontal="center"/>
    </xf>
    <xf numFmtId="0" fontId="6" fillId="2" borderId="0" xfId="0" applyFont="1" applyFill="1" applyBorder="1" applyAlignment="1">
      <alignment horizontal="center" vertical="center"/>
    </xf>
    <xf numFmtId="49" fontId="6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1" fontId="6" fillId="2" borderId="0" xfId="5" applyNumberFormat="1" applyFont="1" applyFill="1" applyBorder="1" applyAlignment="1">
      <alignment horizontal="center" vertical="center"/>
    </xf>
    <xf numFmtId="165" fontId="6" fillId="2" borderId="0" xfId="0" applyNumberFormat="1" applyFont="1" applyFill="1" applyBorder="1" applyAlignment="1">
      <alignment horizontal="center" vertical="center"/>
    </xf>
    <xf numFmtId="2" fontId="6" fillId="2" borderId="0" xfId="5" applyNumberFormat="1" applyFont="1" applyFill="1" applyBorder="1" applyAlignment="1">
      <alignment horizontal="center" vertical="center"/>
    </xf>
    <xf numFmtId="2" fontId="6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/>
    <xf numFmtId="0" fontId="8" fillId="2" borderId="0" xfId="0" applyFont="1" applyFill="1" applyBorder="1" applyAlignment="1"/>
    <xf numFmtId="1" fontId="8" fillId="2" borderId="0" xfId="0" applyNumberFormat="1" applyFont="1" applyFill="1" applyBorder="1" applyAlignment="1">
      <alignment horizontal="center"/>
    </xf>
    <xf numFmtId="0" fontId="8" fillId="2" borderId="0" xfId="0" applyFont="1" applyFill="1" applyBorder="1" applyAlignment="1">
      <alignment horizontal="right"/>
    </xf>
    <xf numFmtId="0" fontId="8" fillId="2" borderId="0" xfId="0" applyFont="1" applyFill="1" applyBorder="1" applyAlignment="1">
      <alignment vertical="center"/>
    </xf>
    <xf numFmtId="1" fontId="8" fillId="2" borderId="0" xfId="0" applyNumberFormat="1" applyFont="1" applyFill="1" applyBorder="1" applyAlignment="1">
      <alignment horizontal="center" vertical="center"/>
    </xf>
    <xf numFmtId="49" fontId="7" fillId="2" borderId="16" xfId="0" applyNumberFormat="1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center" vertical="center"/>
    </xf>
    <xf numFmtId="1" fontId="6" fillId="2" borderId="17" xfId="0" applyNumberFormat="1" applyFont="1" applyFill="1" applyBorder="1" applyAlignment="1">
      <alignment horizontal="center" vertical="center"/>
    </xf>
    <xf numFmtId="164" fontId="6" fillId="2" borderId="17" xfId="0" applyNumberFormat="1" applyFont="1" applyFill="1" applyBorder="1" applyAlignment="1">
      <alignment horizontal="center" vertical="center"/>
    </xf>
    <xf numFmtId="164" fontId="6" fillId="2" borderId="7" xfId="0" applyNumberFormat="1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1" fontId="7" fillId="2" borderId="17" xfId="5" applyNumberFormat="1" applyFont="1" applyFill="1" applyBorder="1" applyAlignment="1">
      <alignment horizontal="center" vertical="center"/>
    </xf>
    <xf numFmtId="165" fontId="7" fillId="2" borderId="17" xfId="0" applyNumberFormat="1" applyFont="1" applyFill="1" applyBorder="1" applyAlignment="1">
      <alignment horizontal="center" vertical="center"/>
    </xf>
    <xf numFmtId="164" fontId="7" fillId="2" borderId="17" xfId="0" applyNumberFormat="1" applyFont="1" applyFill="1" applyBorder="1" applyAlignment="1">
      <alignment horizontal="center" vertical="center"/>
    </xf>
    <xf numFmtId="2" fontId="6" fillId="2" borderId="17" xfId="5" applyNumberFormat="1" applyFont="1" applyFill="1" applyBorder="1" applyAlignment="1">
      <alignment horizontal="center" vertical="center"/>
    </xf>
    <xf numFmtId="165" fontId="6" fillId="2" borderId="17" xfId="0" applyNumberFormat="1" applyFont="1" applyFill="1" applyBorder="1" applyAlignment="1">
      <alignment horizontal="center" vertical="center"/>
    </xf>
    <xf numFmtId="9" fontId="9" fillId="2" borderId="24" xfId="0" applyNumberFormat="1" applyFont="1" applyFill="1" applyBorder="1" applyAlignment="1">
      <alignment horizontal="right"/>
    </xf>
    <xf numFmtId="165" fontId="6" fillId="2" borderId="25" xfId="1" applyNumberFormat="1" applyFont="1" applyFill="1" applyBorder="1"/>
    <xf numFmtId="0" fontId="8" fillId="2" borderId="24" xfId="0" applyFont="1" applyFill="1" applyBorder="1" applyAlignment="1">
      <alignment horizontal="right"/>
    </xf>
    <xf numFmtId="0" fontId="8" fillId="2" borderId="18" xfId="0" applyFont="1" applyFill="1" applyBorder="1" applyAlignment="1">
      <alignment horizontal="right" vertical="center"/>
    </xf>
    <xf numFmtId="165" fontId="7" fillId="2" borderId="20" xfId="1" applyNumberFormat="1" applyFont="1" applyFill="1" applyBorder="1" applyAlignment="1">
      <alignment vertical="center"/>
    </xf>
    <xf numFmtId="165" fontId="7" fillId="2" borderId="25" xfId="1" applyNumberFormat="1" applyFont="1" applyFill="1" applyBorder="1"/>
    <xf numFmtId="0" fontId="10" fillId="2" borderId="22" xfId="0" applyFont="1" applyFill="1" applyBorder="1" applyAlignment="1">
      <alignment horizontal="right"/>
    </xf>
    <xf numFmtId="165" fontId="11" fillId="2" borderId="23" xfId="1" applyNumberFormat="1" applyFont="1" applyFill="1" applyBorder="1"/>
    <xf numFmtId="0" fontId="8" fillId="2" borderId="0" xfId="0" applyFont="1" applyFill="1" applyBorder="1" applyAlignment="1">
      <alignment horizontal="right" vertical="center"/>
    </xf>
    <xf numFmtId="165" fontId="7" fillId="2" borderId="0" xfId="1" applyNumberFormat="1" applyFont="1" applyFill="1" applyBorder="1" applyAlignment="1">
      <alignment vertical="center"/>
    </xf>
    <xf numFmtId="165" fontId="6" fillId="2" borderId="0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2" fontId="6" fillId="2" borderId="1" xfId="5" applyNumberFormat="1" applyFont="1" applyFill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center" vertical="center"/>
    </xf>
    <xf numFmtId="165" fontId="6" fillId="2" borderId="30" xfId="0" applyNumberFormat="1" applyFont="1" applyFill="1" applyBorder="1" applyAlignment="1">
      <alignment horizontal="center" vertical="center"/>
    </xf>
    <xf numFmtId="1" fontId="6" fillId="2" borderId="1" xfId="5" applyNumberFormat="1" applyFont="1" applyFill="1" applyBorder="1" applyAlignment="1">
      <alignment horizontal="center" vertical="center"/>
    </xf>
    <xf numFmtId="1" fontId="6" fillId="2" borderId="0" xfId="0" applyNumberFormat="1" applyFont="1" applyFill="1" applyBorder="1" applyAlignment="1">
      <alignment horizontal="center"/>
    </xf>
    <xf numFmtId="9" fontId="6" fillId="2" borderId="0" xfId="0" applyNumberFormat="1" applyFont="1" applyFill="1" applyBorder="1"/>
    <xf numFmtId="165" fontId="6" fillId="2" borderId="0" xfId="0" applyNumberFormat="1" applyFont="1" applyFill="1" applyBorder="1"/>
    <xf numFmtId="0" fontId="6" fillId="2" borderId="0" xfId="0" applyFont="1" applyFill="1" applyBorder="1" applyAlignment="1">
      <alignment vertical="center"/>
    </xf>
    <xf numFmtId="2" fontId="6" fillId="2" borderId="30" xfId="5" applyNumberFormat="1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center" vertical="center"/>
    </xf>
    <xf numFmtId="2" fontId="14" fillId="2" borderId="0" xfId="5" applyNumberFormat="1" applyFont="1" applyFill="1" applyBorder="1" applyAlignment="1">
      <alignment horizontal="center" vertical="center"/>
    </xf>
    <xf numFmtId="165" fontId="14" fillId="2" borderId="0" xfId="0" applyNumberFormat="1" applyFont="1" applyFill="1" applyBorder="1" applyAlignment="1">
      <alignment horizontal="center" vertical="center"/>
    </xf>
    <xf numFmtId="165" fontId="6" fillId="2" borderId="32" xfId="1" applyNumberFormat="1" applyFont="1" applyFill="1" applyBorder="1"/>
    <xf numFmtId="0" fontId="12" fillId="2" borderId="0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49" fontId="6" fillId="2" borderId="31" xfId="0" applyNumberFormat="1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left" vertical="center"/>
    </xf>
    <xf numFmtId="165" fontId="6" fillId="2" borderId="27" xfId="0" applyNumberFormat="1" applyFont="1" applyFill="1" applyBorder="1" applyAlignment="1">
      <alignment horizontal="center" vertical="center"/>
    </xf>
    <xf numFmtId="1" fontId="13" fillId="2" borderId="0" xfId="0" applyNumberFormat="1" applyFont="1" applyFill="1" applyBorder="1" applyAlignment="1">
      <alignment horizontal="center" vertical="center"/>
    </xf>
    <xf numFmtId="49" fontId="7" fillId="2" borderId="17" xfId="0" applyNumberFormat="1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right" vertical="center"/>
    </xf>
    <xf numFmtId="0" fontId="18" fillId="2" borderId="0" xfId="0" applyFont="1" applyFill="1" applyAlignment="1">
      <alignment horizontal="right" vertical="center"/>
    </xf>
    <xf numFmtId="14" fontId="18" fillId="2" borderId="0" xfId="0" applyNumberFormat="1" applyFont="1" applyFill="1" applyAlignment="1">
      <alignment horizontal="right" vertical="center"/>
    </xf>
    <xf numFmtId="0" fontId="21" fillId="2" borderId="0" xfId="0" applyFont="1" applyFill="1" applyBorder="1" applyAlignment="1">
      <alignment horizontal="right"/>
    </xf>
    <xf numFmtId="0" fontId="22" fillId="2" borderId="0" xfId="0" applyFont="1" applyFill="1" applyBorder="1" applyAlignment="1">
      <alignment vertical="center"/>
    </xf>
    <xf numFmtId="0" fontId="6" fillId="2" borderId="29" xfId="0" applyFont="1" applyFill="1" applyBorder="1" applyAlignment="1">
      <alignment horizontal="left" vertical="center"/>
    </xf>
    <xf numFmtId="0" fontId="6" fillId="2" borderId="29" xfId="0" applyFont="1" applyFill="1" applyBorder="1" applyAlignment="1">
      <alignment vertical="center"/>
    </xf>
    <xf numFmtId="0" fontId="6" fillId="2" borderId="33" xfId="0" applyFont="1" applyFill="1" applyBorder="1" applyAlignment="1">
      <alignment horizontal="left" vertical="center"/>
    </xf>
    <xf numFmtId="49" fontId="6" fillId="2" borderId="27" xfId="0" applyNumberFormat="1" applyFont="1" applyFill="1" applyBorder="1" applyAlignment="1">
      <alignment horizontal="center" vertical="center"/>
    </xf>
    <xf numFmtId="165" fontId="6" fillId="2" borderId="7" xfId="0" applyNumberFormat="1" applyFont="1" applyFill="1" applyBorder="1" applyAlignment="1">
      <alignment horizontal="center" vertical="center"/>
    </xf>
    <xf numFmtId="42" fontId="6" fillId="2" borderId="0" xfId="0" applyNumberFormat="1" applyFont="1" applyFill="1" applyBorder="1"/>
    <xf numFmtId="49" fontId="7" fillId="2" borderId="36" xfId="0" applyNumberFormat="1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left" vertical="center"/>
    </xf>
    <xf numFmtId="0" fontId="6" fillId="2" borderId="35" xfId="0" applyFont="1" applyFill="1" applyBorder="1" applyAlignment="1">
      <alignment horizontal="center" vertical="center"/>
    </xf>
    <xf numFmtId="168" fontId="6" fillId="2" borderId="35" xfId="0" applyNumberFormat="1" applyFont="1" applyFill="1" applyBorder="1" applyAlignment="1">
      <alignment horizontal="center" vertical="center"/>
    </xf>
    <xf numFmtId="165" fontId="6" fillId="2" borderId="35" xfId="0" applyNumberFormat="1" applyFont="1" applyFill="1" applyBorder="1" applyAlignment="1">
      <alignment horizontal="center" vertical="center"/>
    </xf>
    <xf numFmtId="164" fontId="6" fillId="2" borderId="37" xfId="0" applyNumberFormat="1" applyFont="1" applyFill="1" applyBorder="1" applyAlignment="1">
      <alignment horizontal="center" vertical="center"/>
    </xf>
    <xf numFmtId="2" fontId="6" fillId="2" borderId="27" xfId="0" applyNumberFormat="1" applyFont="1" applyFill="1" applyBorder="1" applyAlignment="1">
      <alignment horizontal="center" vertical="center"/>
    </xf>
    <xf numFmtId="165" fontId="6" fillId="2" borderId="28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49" fontId="7" fillId="2" borderId="34" xfId="0" applyNumberFormat="1" applyFont="1" applyFill="1" applyBorder="1" applyAlignment="1">
      <alignment horizontal="center" vertical="center"/>
    </xf>
    <xf numFmtId="165" fontId="6" fillId="2" borderId="26" xfId="0" applyNumberFormat="1" applyFont="1" applyFill="1" applyBorder="1" applyAlignment="1">
      <alignment horizontal="center" vertical="center"/>
    </xf>
    <xf numFmtId="0" fontId="23" fillId="2" borderId="27" xfId="0" applyFont="1" applyFill="1" applyBorder="1" applyAlignment="1">
      <alignment horizontal="left" vertical="center"/>
    </xf>
    <xf numFmtId="0" fontId="23" fillId="2" borderId="27" xfId="0" applyFont="1" applyFill="1" applyBorder="1" applyAlignment="1">
      <alignment horizontal="center" vertical="center"/>
    </xf>
    <xf numFmtId="2" fontId="23" fillId="2" borderId="27" xfId="0" applyNumberFormat="1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left" vertical="center"/>
    </xf>
    <xf numFmtId="0" fontId="23" fillId="2" borderId="1" xfId="0" applyFont="1" applyFill="1" applyBorder="1" applyAlignment="1">
      <alignment horizontal="center" vertical="center"/>
    </xf>
    <xf numFmtId="2" fontId="23" fillId="2" borderId="1" xfId="0" applyNumberFormat="1" applyFont="1" applyFill="1" applyBorder="1" applyAlignment="1">
      <alignment horizontal="center" vertical="center"/>
    </xf>
    <xf numFmtId="165" fontId="23" fillId="2" borderId="1" xfId="0" applyNumberFormat="1" applyFont="1" applyFill="1" applyBorder="1" applyAlignment="1">
      <alignment horizontal="center" vertical="center"/>
    </xf>
    <xf numFmtId="42" fontId="6" fillId="2" borderId="0" xfId="6" applyFont="1" applyFill="1" applyBorder="1"/>
    <xf numFmtId="49" fontId="6" fillId="2" borderId="1" xfId="0" applyNumberFormat="1" applyFont="1" applyFill="1" applyBorder="1" applyAlignment="1">
      <alignment horizontal="center" vertical="center"/>
    </xf>
    <xf numFmtId="2" fontId="23" fillId="2" borderId="1" xfId="5" applyNumberFormat="1" applyFont="1" applyFill="1" applyBorder="1" applyAlignment="1">
      <alignment horizontal="center" vertical="center"/>
    </xf>
    <xf numFmtId="164" fontId="6" fillId="2" borderId="26" xfId="0" applyNumberFormat="1" applyFont="1" applyFill="1" applyBorder="1" applyAlignment="1">
      <alignment horizontal="center" vertical="center"/>
    </xf>
    <xf numFmtId="49" fontId="6" fillId="2" borderId="30" xfId="0" applyNumberFormat="1" applyFont="1" applyFill="1" applyBorder="1" applyAlignment="1">
      <alignment horizontal="center" vertical="center"/>
    </xf>
    <xf numFmtId="0" fontId="23" fillId="2" borderId="30" xfId="0" applyFont="1" applyFill="1" applyBorder="1" applyAlignment="1">
      <alignment horizontal="left" vertical="center"/>
    </xf>
    <xf numFmtId="0" fontId="23" fillId="2" borderId="30" xfId="0" applyFont="1" applyFill="1" applyBorder="1" applyAlignment="1">
      <alignment horizontal="center" vertical="center"/>
    </xf>
    <xf numFmtId="2" fontId="23" fillId="2" borderId="30" xfId="5" applyNumberFormat="1" applyFont="1" applyFill="1" applyBorder="1" applyAlignment="1">
      <alignment horizontal="center" vertical="center"/>
    </xf>
    <xf numFmtId="165" fontId="23" fillId="2" borderId="30" xfId="0" applyNumberFormat="1" applyFont="1" applyFill="1" applyBorder="1" applyAlignment="1">
      <alignment horizontal="center" vertical="center"/>
    </xf>
    <xf numFmtId="164" fontId="7" fillId="2" borderId="7" xfId="0" applyNumberFormat="1" applyFont="1" applyFill="1" applyBorder="1" applyAlignment="1">
      <alignment horizontal="center" vertical="center"/>
    </xf>
    <xf numFmtId="0" fontId="3" fillId="0" borderId="0" xfId="2" applyFont="1" applyAlignment="1">
      <alignment horizontal="center"/>
    </xf>
    <xf numFmtId="0" fontId="16" fillId="2" borderId="18" xfId="0" applyFont="1" applyFill="1" applyBorder="1" applyAlignment="1">
      <alignment horizontal="center" vertical="center"/>
    </xf>
    <xf numFmtId="0" fontId="16" fillId="2" borderId="19" xfId="0" applyFont="1" applyFill="1" applyBorder="1" applyAlignment="1">
      <alignment horizontal="center" vertical="center"/>
    </xf>
    <xf numFmtId="0" fontId="16" fillId="2" borderId="2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right"/>
    </xf>
    <xf numFmtId="0" fontId="19" fillId="2" borderId="22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19" fillId="2" borderId="23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right" vertical="center" wrapText="1"/>
    </xf>
    <xf numFmtId="0" fontId="20" fillId="2" borderId="24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20" fillId="2" borderId="25" xfId="0" applyFont="1" applyFill="1" applyBorder="1" applyAlignment="1">
      <alignment horizontal="center" vertical="center" wrapText="1"/>
    </xf>
  </cellXfs>
  <cellStyles count="7">
    <cellStyle name="Millares [0]" xfId="5" builtinId="6"/>
    <cellStyle name="Moneda" xfId="1" builtinId="4"/>
    <cellStyle name="Moneda [0]" xfId="6" builtinId="7"/>
    <cellStyle name="Moneda 2" xfId="3" xr:uid="{00000000-0005-0000-0000-000003000000}"/>
    <cellStyle name="Normal" xfId="0" builtinId="0"/>
    <cellStyle name="Normal 2" xfId="2" xr:uid="{00000000-0005-0000-0000-000005000000}"/>
    <cellStyle name="Porcentaje 2" xfId="4" xr:uid="{00000000-0005-0000-0000-000006000000}"/>
  </cellStyles>
  <dxfs count="23">
    <dxf>
      <numFmt numFmtId="164" formatCode="&quot;$&quot;#,##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 Light"/>
        <scheme val="major"/>
      </font>
      <numFmt numFmtId="165" formatCode="_-&quot;$&quot;\ * #,##0_-;\-&quot;$&quot;\ * #,##0_-;_-&quot;$&quot;\ * &quot;-&quot;??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 Light"/>
        <scheme val="major"/>
      </font>
      <numFmt numFmtId="165" formatCode="_-&quot;$&quot;\ * #,##0_-;\-&quot;$&quot;\ * #,##0_-;_-&quot;$&quot;\ * &quot;-&quot;??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 Light"/>
        <scheme val="major"/>
      </font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 Light"/>
        <scheme val="maj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 Light"/>
        <scheme val="maj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1"/>
        <name val="Calibri Light"/>
        <scheme val="maj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1"/>
        <name val="Calibri Light"/>
        <scheme val="none"/>
      </font>
      <fill>
        <patternFill>
          <fgColor rgb="FF000000"/>
          <bgColor rgb="FFFFFFFF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name val="Calibri Light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 Light"/>
        <scheme val="major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14996795556505021"/>
          <bgColor theme="0" tint="-4.9989318521683403E-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1"/>
        </top>
      </border>
    </dxf>
    <dxf>
      <font>
        <b/>
        <color theme="1"/>
      </font>
      <border>
        <bottom style="medium">
          <color theme="1"/>
        </bottom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Presupuesto" pivot="0" count="7" xr9:uid="{00000000-0011-0000-FFFF-FFFF00000000}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firstRowStripe" dxfId="17"/>
      <tableStyleElement type="firstColumnStripe" dxfId="16"/>
    </tableStyle>
  </tableStyles>
  <colors>
    <mruColors>
      <color rgb="FF0000CC"/>
      <color rgb="FF006666"/>
      <color rgb="FF0000FF"/>
      <color rgb="FF996633"/>
      <color rgb="FF663300"/>
      <color rgb="FF99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5</xdr:row>
      <xdr:rowOff>76200</xdr:rowOff>
    </xdr:from>
    <xdr:to>
      <xdr:col>2</xdr:col>
      <xdr:colOff>19050</xdr:colOff>
      <xdr:row>8</xdr:row>
      <xdr:rowOff>166688</xdr:rowOff>
    </xdr:to>
    <xdr:pic>
      <xdr:nvPicPr>
        <xdr:cNvPr id="2" name="Picture 1" descr="logocomde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830" b="25243"/>
        <a:stretch>
          <a:fillRect/>
        </a:stretch>
      </xdr:blipFill>
      <xdr:spPr bwMode="auto">
        <a:xfrm>
          <a:off x="781050" y="895350"/>
          <a:ext cx="581025" cy="5857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1020483</xdr:colOff>
      <xdr:row>3</xdr:row>
      <xdr:rowOff>81265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91983" cy="709915"/>
        </a:xfrm>
        <a:prstGeom prst="rect">
          <a:avLst/>
        </a:prstGeom>
      </xdr:spPr>
    </xdr:pic>
    <xdr:clientData/>
  </xdr:twoCellAnchor>
  <xdr:twoCellAnchor>
    <xdr:from>
      <xdr:col>1</xdr:col>
      <xdr:colOff>1053353</xdr:colOff>
      <xdr:row>0</xdr:row>
      <xdr:rowOff>44822</xdr:rowOff>
    </xdr:from>
    <xdr:to>
      <xdr:col>2</xdr:col>
      <xdr:colOff>132790</xdr:colOff>
      <xdr:row>3</xdr:row>
      <xdr:rowOff>120462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624853" y="44822"/>
          <a:ext cx="3632387" cy="70429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CL" sz="1200" b="0">
              <a:solidFill>
                <a:schemeClr val="tx1">
                  <a:lumMod val="75000"/>
                  <a:lumOff val="25000"/>
                </a:schemeClr>
              </a:solidFill>
            </a:rPr>
            <a:t>Corporación</a:t>
          </a:r>
          <a:r>
            <a:rPr lang="es-CL" sz="1200" b="0" baseline="0">
              <a:solidFill>
                <a:schemeClr val="tx1">
                  <a:lumMod val="75000"/>
                  <a:lumOff val="25000"/>
                </a:schemeClr>
              </a:solidFill>
            </a:rPr>
            <a:t> Municipal de Desarrollo Social         </a:t>
          </a:r>
        </a:p>
        <a:p>
          <a:r>
            <a:rPr lang="es-CL" sz="1200" b="0" baseline="0">
              <a:solidFill>
                <a:schemeClr val="tx1">
                  <a:lumMod val="75000"/>
                  <a:lumOff val="25000"/>
                </a:schemeClr>
              </a:solidFill>
            </a:rPr>
            <a:t>Calama, Provincia El Loa - Región de Antofagasta</a:t>
          </a:r>
        </a:p>
        <a:p>
          <a:r>
            <a:rPr lang="es-CL" sz="1200" b="0" baseline="0">
              <a:solidFill>
                <a:schemeClr val="tx1">
                  <a:lumMod val="75000"/>
                  <a:lumOff val="25000"/>
                </a:schemeClr>
              </a:solidFill>
            </a:rPr>
            <a:t>Departamento de Planificación                      </a:t>
          </a:r>
          <a:endParaRPr lang="es-CL" sz="1200" b="0">
            <a:solidFill>
              <a:schemeClr val="tx1">
                <a:lumMod val="75000"/>
                <a:lumOff val="25000"/>
              </a:schemeClr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la1632343435" displayName="Tabla1632343435" ref="A10:F593" headerRowDxfId="15" dataDxfId="13" totalsRowDxfId="11" headerRowBorderDxfId="14" tableBorderDxfId="12">
  <autoFilter ref="A10:F593" xr:uid="{00000000-0009-0000-0100-000004000000}"/>
  <tableColumns count="6">
    <tableColumn id="1" xr3:uid="{00000000-0010-0000-0000-000001000000}" name="ITEM" totalsRowLabel="Total Neto" dataDxfId="10"/>
    <tableColumn id="2" xr3:uid="{00000000-0010-0000-0000-000002000000}" name="DESCRIPCION" dataDxfId="9" totalsRowDxfId="8"/>
    <tableColumn id="3" xr3:uid="{00000000-0010-0000-0000-000003000000}" name="UNIDAD" dataDxfId="7" totalsRowDxfId="6"/>
    <tableColumn id="4" xr3:uid="{00000000-0010-0000-0000-000004000000}" name="CANTIDAD" dataDxfId="5" totalsRowDxfId="4" dataCellStyle="Millares [0]"/>
    <tableColumn id="5" xr3:uid="{00000000-0010-0000-0000-000005000000}" name="PRECIO UNI." dataDxfId="3" totalsRowDxfId="2"/>
    <tableColumn id="6" xr3:uid="{00000000-0010-0000-0000-000006000000}" name="SUBTOTAL" totalsRowFunction="sum" dataDxfId="1" totalsRowDxfId="0"/>
  </tableColumns>
  <tableStyleInfo name="Presupuesto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H40"/>
  <sheetViews>
    <sheetView view="pageBreakPreview" zoomScaleNormal="100" zoomScaleSheetLayoutView="100" workbookViewId="0">
      <selection activeCell="F27" sqref="F27"/>
    </sheetView>
  </sheetViews>
  <sheetFormatPr baseColWidth="10" defaultRowHeight="12.75" x14ac:dyDescent="0.2"/>
  <cols>
    <col min="1" max="1" width="10.7109375" style="1"/>
    <col min="2" max="2" width="8.140625" style="1" customWidth="1"/>
    <col min="3" max="3" width="35.140625" style="1" customWidth="1"/>
    <col min="4" max="4" width="8" style="1" customWidth="1"/>
    <col min="5" max="5" width="11.140625" style="3" customWidth="1"/>
    <col min="6" max="6" width="10.7109375" style="1"/>
    <col min="7" max="7" width="14.85546875" style="1" customWidth="1"/>
    <col min="8" max="8" width="0" style="1" hidden="1" customWidth="1"/>
    <col min="9" max="9" width="10.7109375" style="1"/>
    <col min="10" max="10" width="24.7109375" style="1" customWidth="1"/>
    <col min="11" max="257" width="10.7109375" style="1"/>
    <col min="258" max="258" width="8.140625" style="1" customWidth="1"/>
    <col min="259" max="259" width="35.140625" style="1" customWidth="1"/>
    <col min="260" max="260" width="8" style="1" customWidth="1"/>
    <col min="261" max="261" width="11.140625" style="1" customWidth="1"/>
    <col min="262" max="262" width="10.7109375" style="1"/>
    <col min="263" max="263" width="14.85546875" style="1" customWidth="1"/>
    <col min="264" max="264" width="0" style="1" hidden="1" customWidth="1"/>
    <col min="265" max="265" width="10.7109375" style="1"/>
    <col min="266" max="266" width="24.7109375" style="1" customWidth="1"/>
    <col min="267" max="513" width="10.7109375" style="1"/>
    <col min="514" max="514" width="8.140625" style="1" customWidth="1"/>
    <col min="515" max="515" width="35.140625" style="1" customWidth="1"/>
    <col min="516" max="516" width="8" style="1" customWidth="1"/>
    <col min="517" max="517" width="11.140625" style="1" customWidth="1"/>
    <col min="518" max="518" width="10.7109375" style="1"/>
    <col min="519" max="519" width="14.85546875" style="1" customWidth="1"/>
    <col min="520" max="520" width="0" style="1" hidden="1" customWidth="1"/>
    <col min="521" max="521" width="10.7109375" style="1"/>
    <col min="522" max="522" width="24.7109375" style="1" customWidth="1"/>
    <col min="523" max="769" width="10.7109375" style="1"/>
    <col min="770" max="770" width="8.140625" style="1" customWidth="1"/>
    <col min="771" max="771" width="35.140625" style="1" customWidth="1"/>
    <col min="772" max="772" width="8" style="1" customWidth="1"/>
    <col min="773" max="773" width="11.140625" style="1" customWidth="1"/>
    <col min="774" max="774" width="10.7109375" style="1"/>
    <col min="775" max="775" width="14.85546875" style="1" customWidth="1"/>
    <col min="776" max="776" width="0" style="1" hidden="1" customWidth="1"/>
    <col min="777" max="777" width="10.7109375" style="1"/>
    <col min="778" max="778" width="24.7109375" style="1" customWidth="1"/>
    <col min="779" max="1025" width="10.7109375" style="1"/>
    <col min="1026" max="1026" width="8.140625" style="1" customWidth="1"/>
    <col min="1027" max="1027" width="35.140625" style="1" customWidth="1"/>
    <col min="1028" max="1028" width="8" style="1" customWidth="1"/>
    <col min="1029" max="1029" width="11.140625" style="1" customWidth="1"/>
    <col min="1030" max="1030" width="10.7109375" style="1"/>
    <col min="1031" max="1031" width="14.85546875" style="1" customWidth="1"/>
    <col min="1032" max="1032" width="0" style="1" hidden="1" customWidth="1"/>
    <col min="1033" max="1033" width="10.7109375" style="1"/>
    <col min="1034" max="1034" width="24.7109375" style="1" customWidth="1"/>
    <col min="1035" max="1281" width="10.7109375" style="1"/>
    <col min="1282" max="1282" width="8.140625" style="1" customWidth="1"/>
    <col min="1283" max="1283" width="35.140625" style="1" customWidth="1"/>
    <col min="1284" max="1284" width="8" style="1" customWidth="1"/>
    <col min="1285" max="1285" width="11.140625" style="1" customWidth="1"/>
    <col min="1286" max="1286" width="10.7109375" style="1"/>
    <col min="1287" max="1287" width="14.85546875" style="1" customWidth="1"/>
    <col min="1288" max="1288" width="0" style="1" hidden="1" customWidth="1"/>
    <col min="1289" max="1289" width="10.7109375" style="1"/>
    <col min="1290" max="1290" width="24.7109375" style="1" customWidth="1"/>
    <col min="1291" max="1537" width="10.7109375" style="1"/>
    <col min="1538" max="1538" width="8.140625" style="1" customWidth="1"/>
    <col min="1539" max="1539" width="35.140625" style="1" customWidth="1"/>
    <col min="1540" max="1540" width="8" style="1" customWidth="1"/>
    <col min="1541" max="1541" width="11.140625" style="1" customWidth="1"/>
    <col min="1542" max="1542" width="10.7109375" style="1"/>
    <col min="1543" max="1543" width="14.85546875" style="1" customWidth="1"/>
    <col min="1544" max="1544" width="0" style="1" hidden="1" customWidth="1"/>
    <col min="1545" max="1545" width="10.7109375" style="1"/>
    <col min="1546" max="1546" width="24.7109375" style="1" customWidth="1"/>
    <col min="1547" max="1793" width="10.7109375" style="1"/>
    <col min="1794" max="1794" width="8.140625" style="1" customWidth="1"/>
    <col min="1795" max="1795" width="35.140625" style="1" customWidth="1"/>
    <col min="1796" max="1796" width="8" style="1" customWidth="1"/>
    <col min="1797" max="1797" width="11.140625" style="1" customWidth="1"/>
    <col min="1798" max="1798" width="10.7109375" style="1"/>
    <col min="1799" max="1799" width="14.85546875" style="1" customWidth="1"/>
    <col min="1800" max="1800" width="0" style="1" hidden="1" customWidth="1"/>
    <col min="1801" max="1801" width="10.7109375" style="1"/>
    <col min="1802" max="1802" width="24.7109375" style="1" customWidth="1"/>
    <col min="1803" max="2049" width="10.7109375" style="1"/>
    <col min="2050" max="2050" width="8.140625" style="1" customWidth="1"/>
    <col min="2051" max="2051" width="35.140625" style="1" customWidth="1"/>
    <col min="2052" max="2052" width="8" style="1" customWidth="1"/>
    <col min="2053" max="2053" width="11.140625" style="1" customWidth="1"/>
    <col min="2054" max="2054" width="10.7109375" style="1"/>
    <col min="2055" max="2055" width="14.85546875" style="1" customWidth="1"/>
    <col min="2056" max="2056" width="0" style="1" hidden="1" customWidth="1"/>
    <col min="2057" max="2057" width="10.7109375" style="1"/>
    <col min="2058" max="2058" width="24.7109375" style="1" customWidth="1"/>
    <col min="2059" max="2305" width="10.7109375" style="1"/>
    <col min="2306" max="2306" width="8.140625" style="1" customWidth="1"/>
    <col min="2307" max="2307" width="35.140625" style="1" customWidth="1"/>
    <col min="2308" max="2308" width="8" style="1" customWidth="1"/>
    <col min="2309" max="2309" width="11.140625" style="1" customWidth="1"/>
    <col min="2310" max="2310" width="10.7109375" style="1"/>
    <col min="2311" max="2311" width="14.85546875" style="1" customWidth="1"/>
    <col min="2312" max="2312" width="0" style="1" hidden="1" customWidth="1"/>
    <col min="2313" max="2313" width="10.7109375" style="1"/>
    <col min="2314" max="2314" width="24.7109375" style="1" customWidth="1"/>
    <col min="2315" max="2561" width="10.7109375" style="1"/>
    <col min="2562" max="2562" width="8.140625" style="1" customWidth="1"/>
    <col min="2563" max="2563" width="35.140625" style="1" customWidth="1"/>
    <col min="2564" max="2564" width="8" style="1" customWidth="1"/>
    <col min="2565" max="2565" width="11.140625" style="1" customWidth="1"/>
    <col min="2566" max="2566" width="10.7109375" style="1"/>
    <col min="2567" max="2567" width="14.85546875" style="1" customWidth="1"/>
    <col min="2568" max="2568" width="0" style="1" hidden="1" customWidth="1"/>
    <col min="2569" max="2569" width="10.7109375" style="1"/>
    <col min="2570" max="2570" width="24.7109375" style="1" customWidth="1"/>
    <col min="2571" max="2817" width="10.7109375" style="1"/>
    <col min="2818" max="2818" width="8.140625" style="1" customWidth="1"/>
    <col min="2819" max="2819" width="35.140625" style="1" customWidth="1"/>
    <col min="2820" max="2820" width="8" style="1" customWidth="1"/>
    <col min="2821" max="2821" width="11.140625" style="1" customWidth="1"/>
    <col min="2822" max="2822" width="10.7109375" style="1"/>
    <col min="2823" max="2823" width="14.85546875" style="1" customWidth="1"/>
    <col min="2824" max="2824" width="0" style="1" hidden="1" customWidth="1"/>
    <col min="2825" max="2825" width="10.7109375" style="1"/>
    <col min="2826" max="2826" width="24.7109375" style="1" customWidth="1"/>
    <col min="2827" max="3073" width="10.7109375" style="1"/>
    <col min="3074" max="3074" width="8.140625" style="1" customWidth="1"/>
    <col min="3075" max="3075" width="35.140625" style="1" customWidth="1"/>
    <col min="3076" max="3076" width="8" style="1" customWidth="1"/>
    <col min="3077" max="3077" width="11.140625" style="1" customWidth="1"/>
    <col min="3078" max="3078" width="10.7109375" style="1"/>
    <col min="3079" max="3079" width="14.85546875" style="1" customWidth="1"/>
    <col min="3080" max="3080" width="0" style="1" hidden="1" customWidth="1"/>
    <col min="3081" max="3081" width="10.7109375" style="1"/>
    <col min="3082" max="3082" width="24.7109375" style="1" customWidth="1"/>
    <col min="3083" max="3329" width="10.7109375" style="1"/>
    <col min="3330" max="3330" width="8.140625" style="1" customWidth="1"/>
    <col min="3331" max="3331" width="35.140625" style="1" customWidth="1"/>
    <col min="3332" max="3332" width="8" style="1" customWidth="1"/>
    <col min="3333" max="3333" width="11.140625" style="1" customWidth="1"/>
    <col min="3334" max="3334" width="10.7109375" style="1"/>
    <col min="3335" max="3335" width="14.85546875" style="1" customWidth="1"/>
    <col min="3336" max="3336" width="0" style="1" hidden="1" customWidth="1"/>
    <col min="3337" max="3337" width="10.7109375" style="1"/>
    <col min="3338" max="3338" width="24.7109375" style="1" customWidth="1"/>
    <col min="3339" max="3585" width="10.7109375" style="1"/>
    <col min="3586" max="3586" width="8.140625" style="1" customWidth="1"/>
    <col min="3587" max="3587" width="35.140625" style="1" customWidth="1"/>
    <col min="3588" max="3588" width="8" style="1" customWidth="1"/>
    <col min="3589" max="3589" width="11.140625" style="1" customWidth="1"/>
    <col min="3590" max="3590" width="10.7109375" style="1"/>
    <col min="3591" max="3591" width="14.85546875" style="1" customWidth="1"/>
    <col min="3592" max="3592" width="0" style="1" hidden="1" customWidth="1"/>
    <col min="3593" max="3593" width="10.7109375" style="1"/>
    <col min="3594" max="3594" width="24.7109375" style="1" customWidth="1"/>
    <col min="3595" max="3841" width="10.7109375" style="1"/>
    <col min="3842" max="3842" width="8.140625" style="1" customWidth="1"/>
    <col min="3843" max="3843" width="35.140625" style="1" customWidth="1"/>
    <col min="3844" max="3844" width="8" style="1" customWidth="1"/>
    <col min="3845" max="3845" width="11.140625" style="1" customWidth="1"/>
    <col min="3846" max="3846" width="10.7109375" style="1"/>
    <col min="3847" max="3847" width="14.85546875" style="1" customWidth="1"/>
    <col min="3848" max="3848" width="0" style="1" hidden="1" customWidth="1"/>
    <col min="3849" max="3849" width="10.7109375" style="1"/>
    <col min="3850" max="3850" width="24.7109375" style="1" customWidth="1"/>
    <col min="3851" max="4097" width="10.7109375" style="1"/>
    <col min="4098" max="4098" width="8.140625" style="1" customWidth="1"/>
    <col min="4099" max="4099" width="35.140625" style="1" customWidth="1"/>
    <col min="4100" max="4100" width="8" style="1" customWidth="1"/>
    <col min="4101" max="4101" width="11.140625" style="1" customWidth="1"/>
    <col min="4102" max="4102" width="10.7109375" style="1"/>
    <col min="4103" max="4103" width="14.85546875" style="1" customWidth="1"/>
    <col min="4104" max="4104" width="0" style="1" hidden="1" customWidth="1"/>
    <col min="4105" max="4105" width="10.7109375" style="1"/>
    <col min="4106" max="4106" width="24.7109375" style="1" customWidth="1"/>
    <col min="4107" max="4353" width="10.7109375" style="1"/>
    <col min="4354" max="4354" width="8.140625" style="1" customWidth="1"/>
    <col min="4355" max="4355" width="35.140625" style="1" customWidth="1"/>
    <col min="4356" max="4356" width="8" style="1" customWidth="1"/>
    <col min="4357" max="4357" width="11.140625" style="1" customWidth="1"/>
    <col min="4358" max="4358" width="10.7109375" style="1"/>
    <col min="4359" max="4359" width="14.85546875" style="1" customWidth="1"/>
    <col min="4360" max="4360" width="0" style="1" hidden="1" customWidth="1"/>
    <col min="4361" max="4361" width="10.7109375" style="1"/>
    <col min="4362" max="4362" width="24.7109375" style="1" customWidth="1"/>
    <col min="4363" max="4609" width="10.7109375" style="1"/>
    <col min="4610" max="4610" width="8.140625" style="1" customWidth="1"/>
    <col min="4611" max="4611" width="35.140625" style="1" customWidth="1"/>
    <col min="4612" max="4612" width="8" style="1" customWidth="1"/>
    <col min="4613" max="4613" width="11.140625" style="1" customWidth="1"/>
    <col min="4614" max="4614" width="10.7109375" style="1"/>
    <col min="4615" max="4615" width="14.85546875" style="1" customWidth="1"/>
    <col min="4616" max="4616" width="0" style="1" hidden="1" customWidth="1"/>
    <col min="4617" max="4617" width="10.7109375" style="1"/>
    <col min="4618" max="4618" width="24.7109375" style="1" customWidth="1"/>
    <col min="4619" max="4865" width="10.7109375" style="1"/>
    <col min="4866" max="4866" width="8.140625" style="1" customWidth="1"/>
    <col min="4867" max="4867" width="35.140625" style="1" customWidth="1"/>
    <col min="4868" max="4868" width="8" style="1" customWidth="1"/>
    <col min="4869" max="4869" width="11.140625" style="1" customWidth="1"/>
    <col min="4870" max="4870" width="10.7109375" style="1"/>
    <col min="4871" max="4871" width="14.85546875" style="1" customWidth="1"/>
    <col min="4872" max="4872" width="0" style="1" hidden="1" customWidth="1"/>
    <col min="4873" max="4873" width="10.7109375" style="1"/>
    <col min="4874" max="4874" width="24.7109375" style="1" customWidth="1"/>
    <col min="4875" max="5121" width="10.7109375" style="1"/>
    <col min="5122" max="5122" width="8.140625" style="1" customWidth="1"/>
    <col min="5123" max="5123" width="35.140625" style="1" customWidth="1"/>
    <col min="5124" max="5124" width="8" style="1" customWidth="1"/>
    <col min="5125" max="5125" width="11.140625" style="1" customWidth="1"/>
    <col min="5126" max="5126" width="10.7109375" style="1"/>
    <col min="5127" max="5127" width="14.85546875" style="1" customWidth="1"/>
    <col min="5128" max="5128" width="0" style="1" hidden="1" customWidth="1"/>
    <col min="5129" max="5129" width="10.7109375" style="1"/>
    <col min="5130" max="5130" width="24.7109375" style="1" customWidth="1"/>
    <col min="5131" max="5377" width="10.7109375" style="1"/>
    <col min="5378" max="5378" width="8.140625" style="1" customWidth="1"/>
    <col min="5379" max="5379" width="35.140625" style="1" customWidth="1"/>
    <col min="5380" max="5380" width="8" style="1" customWidth="1"/>
    <col min="5381" max="5381" width="11.140625" style="1" customWidth="1"/>
    <col min="5382" max="5382" width="10.7109375" style="1"/>
    <col min="5383" max="5383" width="14.85546875" style="1" customWidth="1"/>
    <col min="5384" max="5384" width="0" style="1" hidden="1" customWidth="1"/>
    <col min="5385" max="5385" width="10.7109375" style="1"/>
    <col min="5386" max="5386" width="24.7109375" style="1" customWidth="1"/>
    <col min="5387" max="5633" width="10.7109375" style="1"/>
    <col min="5634" max="5634" width="8.140625" style="1" customWidth="1"/>
    <col min="5635" max="5635" width="35.140625" style="1" customWidth="1"/>
    <col min="5636" max="5636" width="8" style="1" customWidth="1"/>
    <col min="5637" max="5637" width="11.140625" style="1" customWidth="1"/>
    <col min="5638" max="5638" width="10.7109375" style="1"/>
    <col min="5639" max="5639" width="14.85546875" style="1" customWidth="1"/>
    <col min="5640" max="5640" width="0" style="1" hidden="1" customWidth="1"/>
    <col min="5641" max="5641" width="10.7109375" style="1"/>
    <col min="5642" max="5642" width="24.7109375" style="1" customWidth="1"/>
    <col min="5643" max="5889" width="10.7109375" style="1"/>
    <col min="5890" max="5890" width="8.140625" style="1" customWidth="1"/>
    <col min="5891" max="5891" width="35.140625" style="1" customWidth="1"/>
    <col min="5892" max="5892" width="8" style="1" customWidth="1"/>
    <col min="5893" max="5893" width="11.140625" style="1" customWidth="1"/>
    <col min="5894" max="5894" width="10.7109375" style="1"/>
    <col min="5895" max="5895" width="14.85546875" style="1" customWidth="1"/>
    <col min="5896" max="5896" width="0" style="1" hidden="1" customWidth="1"/>
    <col min="5897" max="5897" width="10.7109375" style="1"/>
    <col min="5898" max="5898" width="24.7109375" style="1" customWidth="1"/>
    <col min="5899" max="6145" width="10.7109375" style="1"/>
    <col min="6146" max="6146" width="8.140625" style="1" customWidth="1"/>
    <col min="6147" max="6147" width="35.140625" style="1" customWidth="1"/>
    <col min="6148" max="6148" width="8" style="1" customWidth="1"/>
    <col min="6149" max="6149" width="11.140625" style="1" customWidth="1"/>
    <col min="6150" max="6150" width="10.7109375" style="1"/>
    <col min="6151" max="6151" width="14.85546875" style="1" customWidth="1"/>
    <col min="6152" max="6152" width="0" style="1" hidden="1" customWidth="1"/>
    <col min="6153" max="6153" width="10.7109375" style="1"/>
    <col min="6154" max="6154" width="24.7109375" style="1" customWidth="1"/>
    <col min="6155" max="6401" width="10.7109375" style="1"/>
    <col min="6402" max="6402" width="8.140625" style="1" customWidth="1"/>
    <col min="6403" max="6403" width="35.140625" style="1" customWidth="1"/>
    <col min="6404" max="6404" width="8" style="1" customWidth="1"/>
    <col min="6405" max="6405" width="11.140625" style="1" customWidth="1"/>
    <col min="6406" max="6406" width="10.7109375" style="1"/>
    <col min="6407" max="6407" width="14.85546875" style="1" customWidth="1"/>
    <col min="6408" max="6408" width="0" style="1" hidden="1" customWidth="1"/>
    <col min="6409" max="6409" width="10.7109375" style="1"/>
    <col min="6410" max="6410" width="24.7109375" style="1" customWidth="1"/>
    <col min="6411" max="6657" width="10.7109375" style="1"/>
    <col min="6658" max="6658" width="8.140625" style="1" customWidth="1"/>
    <col min="6659" max="6659" width="35.140625" style="1" customWidth="1"/>
    <col min="6660" max="6660" width="8" style="1" customWidth="1"/>
    <col min="6661" max="6661" width="11.140625" style="1" customWidth="1"/>
    <col min="6662" max="6662" width="10.7109375" style="1"/>
    <col min="6663" max="6663" width="14.85546875" style="1" customWidth="1"/>
    <col min="6664" max="6664" width="0" style="1" hidden="1" customWidth="1"/>
    <col min="6665" max="6665" width="10.7109375" style="1"/>
    <col min="6666" max="6666" width="24.7109375" style="1" customWidth="1"/>
    <col min="6667" max="6913" width="10.7109375" style="1"/>
    <col min="6914" max="6914" width="8.140625" style="1" customWidth="1"/>
    <col min="6915" max="6915" width="35.140625" style="1" customWidth="1"/>
    <col min="6916" max="6916" width="8" style="1" customWidth="1"/>
    <col min="6917" max="6917" width="11.140625" style="1" customWidth="1"/>
    <col min="6918" max="6918" width="10.7109375" style="1"/>
    <col min="6919" max="6919" width="14.85546875" style="1" customWidth="1"/>
    <col min="6920" max="6920" width="0" style="1" hidden="1" customWidth="1"/>
    <col min="6921" max="6921" width="10.7109375" style="1"/>
    <col min="6922" max="6922" width="24.7109375" style="1" customWidth="1"/>
    <col min="6923" max="7169" width="10.7109375" style="1"/>
    <col min="7170" max="7170" width="8.140625" style="1" customWidth="1"/>
    <col min="7171" max="7171" width="35.140625" style="1" customWidth="1"/>
    <col min="7172" max="7172" width="8" style="1" customWidth="1"/>
    <col min="7173" max="7173" width="11.140625" style="1" customWidth="1"/>
    <col min="7174" max="7174" width="10.7109375" style="1"/>
    <col min="7175" max="7175" width="14.85546875" style="1" customWidth="1"/>
    <col min="7176" max="7176" width="0" style="1" hidden="1" customWidth="1"/>
    <col min="7177" max="7177" width="10.7109375" style="1"/>
    <col min="7178" max="7178" width="24.7109375" style="1" customWidth="1"/>
    <col min="7179" max="7425" width="10.7109375" style="1"/>
    <col min="7426" max="7426" width="8.140625" style="1" customWidth="1"/>
    <col min="7427" max="7427" width="35.140625" style="1" customWidth="1"/>
    <col min="7428" max="7428" width="8" style="1" customWidth="1"/>
    <col min="7429" max="7429" width="11.140625" style="1" customWidth="1"/>
    <col min="7430" max="7430" width="10.7109375" style="1"/>
    <col min="7431" max="7431" width="14.85546875" style="1" customWidth="1"/>
    <col min="7432" max="7432" width="0" style="1" hidden="1" customWidth="1"/>
    <col min="7433" max="7433" width="10.7109375" style="1"/>
    <col min="7434" max="7434" width="24.7109375" style="1" customWidth="1"/>
    <col min="7435" max="7681" width="10.7109375" style="1"/>
    <col min="7682" max="7682" width="8.140625" style="1" customWidth="1"/>
    <col min="7683" max="7683" width="35.140625" style="1" customWidth="1"/>
    <col min="7684" max="7684" width="8" style="1" customWidth="1"/>
    <col min="7685" max="7685" width="11.140625" style="1" customWidth="1"/>
    <col min="7686" max="7686" width="10.7109375" style="1"/>
    <col min="7687" max="7687" width="14.85546875" style="1" customWidth="1"/>
    <col min="7688" max="7688" width="0" style="1" hidden="1" customWidth="1"/>
    <col min="7689" max="7689" width="10.7109375" style="1"/>
    <col min="7690" max="7690" width="24.7109375" style="1" customWidth="1"/>
    <col min="7691" max="7937" width="10.7109375" style="1"/>
    <col min="7938" max="7938" width="8.140625" style="1" customWidth="1"/>
    <col min="7939" max="7939" width="35.140625" style="1" customWidth="1"/>
    <col min="7940" max="7940" width="8" style="1" customWidth="1"/>
    <col min="7941" max="7941" width="11.140625" style="1" customWidth="1"/>
    <col min="7942" max="7942" width="10.7109375" style="1"/>
    <col min="7943" max="7943" width="14.85546875" style="1" customWidth="1"/>
    <col min="7944" max="7944" width="0" style="1" hidden="1" customWidth="1"/>
    <col min="7945" max="7945" width="10.7109375" style="1"/>
    <col min="7946" max="7946" width="24.7109375" style="1" customWidth="1"/>
    <col min="7947" max="8193" width="10.7109375" style="1"/>
    <col min="8194" max="8194" width="8.140625" style="1" customWidth="1"/>
    <col min="8195" max="8195" width="35.140625" style="1" customWidth="1"/>
    <col min="8196" max="8196" width="8" style="1" customWidth="1"/>
    <col min="8197" max="8197" width="11.140625" style="1" customWidth="1"/>
    <col min="8198" max="8198" width="10.7109375" style="1"/>
    <col min="8199" max="8199" width="14.85546875" style="1" customWidth="1"/>
    <col min="8200" max="8200" width="0" style="1" hidden="1" customWidth="1"/>
    <col min="8201" max="8201" width="10.7109375" style="1"/>
    <col min="8202" max="8202" width="24.7109375" style="1" customWidth="1"/>
    <col min="8203" max="8449" width="10.7109375" style="1"/>
    <col min="8450" max="8450" width="8.140625" style="1" customWidth="1"/>
    <col min="8451" max="8451" width="35.140625" style="1" customWidth="1"/>
    <col min="8452" max="8452" width="8" style="1" customWidth="1"/>
    <col min="8453" max="8453" width="11.140625" style="1" customWidth="1"/>
    <col min="8454" max="8454" width="10.7109375" style="1"/>
    <col min="8455" max="8455" width="14.85546875" style="1" customWidth="1"/>
    <col min="8456" max="8456" width="0" style="1" hidden="1" customWidth="1"/>
    <col min="8457" max="8457" width="10.7109375" style="1"/>
    <col min="8458" max="8458" width="24.7109375" style="1" customWidth="1"/>
    <col min="8459" max="8705" width="10.7109375" style="1"/>
    <col min="8706" max="8706" width="8.140625" style="1" customWidth="1"/>
    <col min="8707" max="8707" width="35.140625" style="1" customWidth="1"/>
    <col min="8708" max="8708" width="8" style="1" customWidth="1"/>
    <col min="8709" max="8709" width="11.140625" style="1" customWidth="1"/>
    <col min="8710" max="8710" width="10.7109375" style="1"/>
    <col min="8711" max="8711" width="14.85546875" style="1" customWidth="1"/>
    <col min="8712" max="8712" width="0" style="1" hidden="1" customWidth="1"/>
    <col min="8713" max="8713" width="10.7109375" style="1"/>
    <col min="8714" max="8714" width="24.7109375" style="1" customWidth="1"/>
    <col min="8715" max="8961" width="10.7109375" style="1"/>
    <col min="8962" max="8962" width="8.140625" style="1" customWidth="1"/>
    <col min="8963" max="8963" width="35.140625" style="1" customWidth="1"/>
    <col min="8964" max="8964" width="8" style="1" customWidth="1"/>
    <col min="8965" max="8965" width="11.140625" style="1" customWidth="1"/>
    <col min="8966" max="8966" width="10.7109375" style="1"/>
    <col min="8967" max="8967" width="14.85546875" style="1" customWidth="1"/>
    <col min="8968" max="8968" width="0" style="1" hidden="1" customWidth="1"/>
    <col min="8969" max="8969" width="10.7109375" style="1"/>
    <col min="8970" max="8970" width="24.7109375" style="1" customWidth="1"/>
    <col min="8971" max="9217" width="10.7109375" style="1"/>
    <col min="9218" max="9218" width="8.140625" style="1" customWidth="1"/>
    <col min="9219" max="9219" width="35.140625" style="1" customWidth="1"/>
    <col min="9220" max="9220" width="8" style="1" customWidth="1"/>
    <col min="9221" max="9221" width="11.140625" style="1" customWidth="1"/>
    <col min="9222" max="9222" width="10.7109375" style="1"/>
    <col min="9223" max="9223" width="14.85546875" style="1" customWidth="1"/>
    <col min="9224" max="9224" width="0" style="1" hidden="1" customWidth="1"/>
    <col min="9225" max="9225" width="10.7109375" style="1"/>
    <col min="9226" max="9226" width="24.7109375" style="1" customWidth="1"/>
    <col min="9227" max="9473" width="10.7109375" style="1"/>
    <col min="9474" max="9474" width="8.140625" style="1" customWidth="1"/>
    <col min="9475" max="9475" width="35.140625" style="1" customWidth="1"/>
    <col min="9476" max="9476" width="8" style="1" customWidth="1"/>
    <col min="9477" max="9477" width="11.140625" style="1" customWidth="1"/>
    <col min="9478" max="9478" width="10.7109375" style="1"/>
    <col min="9479" max="9479" width="14.85546875" style="1" customWidth="1"/>
    <col min="9480" max="9480" width="0" style="1" hidden="1" customWidth="1"/>
    <col min="9481" max="9481" width="10.7109375" style="1"/>
    <col min="9482" max="9482" width="24.7109375" style="1" customWidth="1"/>
    <col min="9483" max="9729" width="10.7109375" style="1"/>
    <col min="9730" max="9730" width="8.140625" style="1" customWidth="1"/>
    <col min="9731" max="9731" width="35.140625" style="1" customWidth="1"/>
    <col min="9732" max="9732" width="8" style="1" customWidth="1"/>
    <col min="9733" max="9733" width="11.140625" style="1" customWidth="1"/>
    <col min="9734" max="9734" width="10.7109375" style="1"/>
    <col min="9735" max="9735" width="14.85546875" style="1" customWidth="1"/>
    <col min="9736" max="9736" width="0" style="1" hidden="1" customWidth="1"/>
    <col min="9737" max="9737" width="10.7109375" style="1"/>
    <col min="9738" max="9738" width="24.7109375" style="1" customWidth="1"/>
    <col min="9739" max="9985" width="10.7109375" style="1"/>
    <col min="9986" max="9986" width="8.140625" style="1" customWidth="1"/>
    <col min="9987" max="9987" width="35.140625" style="1" customWidth="1"/>
    <col min="9988" max="9988" width="8" style="1" customWidth="1"/>
    <col min="9989" max="9989" width="11.140625" style="1" customWidth="1"/>
    <col min="9990" max="9990" width="10.7109375" style="1"/>
    <col min="9991" max="9991" width="14.85546875" style="1" customWidth="1"/>
    <col min="9992" max="9992" width="0" style="1" hidden="1" customWidth="1"/>
    <col min="9993" max="9993" width="10.7109375" style="1"/>
    <col min="9994" max="9994" width="24.7109375" style="1" customWidth="1"/>
    <col min="9995" max="10241" width="10.7109375" style="1"/>
    <col min="10242" max="10242" width="8.140625" style="1" customWidth="1"/>
    <col min="10243" max="10243" width="35.140625" style="1" customWidth="1"/>
    <col min="10244" max="10244" width="8" style="1" customWidth="1"/>
    <col min="10245" max="10245" width="11.140625" style="1" customWidth="1"/>
    <col min="10246" max="10246" width="10.7109375" style="1"/>
    <col min="10247" max="10247" width="14.85546875" style="1" customWidth="1"/>
    <col min="10248" max="10248" width="0" style="1" hidden="1" customWidth="1"/>
    <col min="10249" max="10249" width="10.7109375" style="1"/>
    <col min="10250" max="10250" width="24.7109375" style="1" customWidth="1"/>
    <col min="10251" max="10497" width="10.7109375" style="1"/>
    <col min="10498" max="10498" width="8.140625" style="1" customWidth="1"/>
    <col min="10499" max="10499" width="35.140625" style="1" customWidth="1"/>
    <col min="10500" max="10500" width="8" style="1" customWidth="1"/>
    <col min="10501" max="10501" width="11.140625" style="1" customWidth="1"/>
    <col min="10502" max="10502" width="10.7109375" style="1"/>
    <col min="10503" max="10503" width="14.85546875" style="1" customWidth="1"/>
    <col min="10504" max="10504" width="0" style="1" hidden="1" customWidth="1"/>
    <col min="10505" max="10505" width="10.7109375" style="1"/>
    <col min="10506" max="10506" width="24.7109375" style="1" customWidth="1"/>
    <col min="10507" max="10753" width="10.7109375" style="1"/>
    <col min="10754" max="10754" width="8.140625" style="1" customWidth="1"/>
    <col min="10755" max="10755" width="35.140625" style="1" customWidth="1"/>
    <col min="10756" max="10756" width="8" style="1" customWidth="1"/>
    <col min="10757" max="10757" width="11.140625" style="1" customWidth="1"/>
    <col min="10758" max="10758" width="10.7109375" style="1"/>
    <col min="10759" max="10759" width="14.85546875" style="1" customWidth="1"/>
    <col min="10760" max="10760" width="0" style="1" hidden="1" customWidth="1"/>
    <col min="10761" max="10761" width="10.7109375" style="1"/>
    <col min="10762" max="10762" width="24.7109375" style="1" customWidth="1"/>
    <col min="10763" max="11009" width="10.7109375" style="1"/>
    <col min="11010" max="11010" width="8.140625" style="1" customWidth="1"/>
    <col min="11011" max="11011" width="35.140625" style="1" customWidth="1"/>
    <col min="11012" max="11012" width="8" style="1" customWidth="1"/>
    <col min="11013" max="11013" width="11.140625" style="1" customWidth="1"/>
    <col min="11014" max="11014" width="10.7109375" style="1"/>
    <col min="11015" max="11015" width="14.85546875" style="1" customWidth="1"/>
    <col min="11016" max="11016" width="0" style="1" hidden="1" customWidth="1"/>
    <col min="11017" max="11017" width="10.7109375" style="1"/>
    <col min="11018" max="11018" width="24.7109375" style="1" customWidth="1"/>
    <col min="11019" max="11265" width="10.7109375" style="1"/>
    <col min="11266" max="11266" width="8.140625" style="1" customWidth="1"/>
    <col min="11267" max="11267" width="35.140625" style="1" customWidth="1"/>
    <col min="11268" max="11268" width="8" style="1" customWidth="1"/>
    <col min="11269" max="11269" width="11.140625" style="1" customWidth="1"/>
    <col min="11270" max="11270" width="10.7109375" style="1"/>
    <col min="11271" max="11271" width="14.85546875" style="1" customWidth="1"/>
    <col min="11272" max="11272" width="0" style="1" hidden="1" customWidth="1"/>
    <col min="11273" max="11273" width="10.7109375" style="1"/>
    <col min="11274" max="11274" width="24.7109375" style="1" customWidth="1"/>
    <col min="11275" max="11521" width="10.7109375" style="1"/>
    <col min="11522" max="11522" width="8.140625" style="1" customWidth="1"/>
    <col min="11523" max="11523" width="35.140625" style="1" customWidth="1"/>
    <col min="11524" max="11524" width="8" style="1" customWidth="1"/>
    <col min="11525" max="11525" width="11.140625" style="1" customWidth="1"/>
    <col min="11526" max="11526" width="10.7109375" style="1"/>
    <col min="11527" max="11527" width="14.85546875" style="1" customWidth="1"/>
    <col min="11528" max="11528" width="0" style="1" hidden="1" customWidth="1"/>
    <col min="11529" max="11529" width="10.7109375" style="1"/>
    <col min="11530" max="11530" width="24.7109375" style="1" customWidth="1"/>
    <col min="11531" max="11777" width="10.7109375" style="1"/>
    <col min="11778" max="11778" width="8.140625" style="1" customWidth="1"/>
    <col min="11779" max="11779" width="35.140625" style="1" customWidth="1"/>
    <col min="11780" max="11780" width="8" style="1" customWidth="1"/>
    <col min="11781" max="11781" width="11.140625" style="1" customWidth="1"/>
    <col min="11782" max="11782" width="10.7109375" style="1"/>
    <col min="11783" max="11783" width="14.85546875" style="1" customWidth="1"/>
    <col min="11784" max="11784" width="0" style="1" hidden="1" customWidth="1"/>
    <col min="11785" max="11785" width="10.7109375" style="1"/>
    <col min="11786" max="11786" width="24.7109375" style="1" customWidth="1"/>
    <col min="11787" max="12033" width="10.7109375" style="1"/>
    <col min="12034" max="12034" width="8.140625" style="1" customWidth="1"/>
    <col min="12035" max="12035" width="35.140625" style="1" customWidth="1"/>
    <col min="12036" max="12036" width="8" style="1" customWidth="1"/>
    <col min="12037" max="12037" width="11.140625" style="1" customWidth="1"/>
    <col min="12038" max="12038" width="10.7109375" style="1"/>
    <col min="12039" max="12039" width="14.85546875" style="1" customWidth="1"/>
    <col min="12040" max="12040" width="0" style="1" hidden="1" customWidth="1"/>
    <col min="12041" max="12041" width="10.7109375" style="1"/>
    <col min="12042" max="12042" width="24.7109375" style="1" customWidth="1"/>
    <col min="12043" max="12289" width="10.7109375" style="1"/>
    <col min="12290" max="12290" width="8.140625" style="1" customWidth="1"/>
    <col min="12291" max="12291" width="35.140625" style="1" customWidth="1"/>
    <col min="12292" max="12292" width="8" style="1" customWidth="1"/>
    <col min="12293" max="12293" width="11.140625" style="1" customWidth="1"/>
    <col min="12294" max="12294" width="10.7109375" style="1"/>
    <col min="12295" max="12295" width="14.85546875" style="1" customWidth="1"/>
    <col min="12296" max="12296" width="0" style="1" hidden="1" customWidth="1"/>
    <col min="12297" max="12297" width="10.7109375" style="1"/>
    <col min="12298" max="12298" width="24.7109375" style="1" customWidth="1"/>
    <col min="12299" max="12545" width="10.7109375" style="1"/>
    <col min="12546" max="12546" width="8.140625" style="1" customWidth="1"/>
    <col min="12547" max="12547" width="35.140625" style="1" customWidth="1"/>
    <col min="12548" max="12548" width="8" style="1" customWidth="1"/>
    <col min="12549" max="12549" width="11.140625" style="1" customWidth="1"/>
    <col min="12550" max="12550" width="10.7109375" style="1"/>
    <col min="12551" max="12551" width="14.85546875" style="1" customWidth="1"/>
    <col min="12552" max="12552" width="0" style="1" hidden="1" customWidth="1"/>
    <col min="12553" max="12553" width="10.7109375" style="1"/>
    <col min="12554" max="12554" width="24.7109375" style="1" customWidth="1"/>
    <col min="12555" max="12801" width="10.7109375" style="1"/>
    <col min="12802" max="12802" width="8.140625" style="1" customWidth="1"/>
    <col min="12803" max="12803" width="35.140625" style="1" customWidth="1"/>
    <col min="12804" max="12804" width="8" style="1" customWidth="1"/>
    <col min="12805" max="12805" width="11.140625" style="1" customWidth="1"/>
    <col min="12806" max="12806" width="10.7109375" style="1"/>
    <col min="12807" max="12807" width="14.85546875" style="1" customWidth="1"/>
    <col min="12808" max="12808" width="0" style="1" hidden="1" customWidth="1"/>
    <col min="12809" max="12809" width="10.7109375" style="1"/>
    <col min="12810" max="12810" width="24.7109375" style="1" customWidth="1"/>
    <col min="12811" max="13057" width="10.7109375" style="1"/>
    <col min="13058" max="13058" width="8.140625" style="1" customWidth="1"/>
    <col min="13059" max="13059" width="35.140625" style="1" customWidth="1"/>
    <col min="13060" max="13060" width="8" style="1" customWidth="1"/>
    <col min="13061" max="13061" width="11.140625" style="1" customWidth="1"/>
    <col min="13062" max="13062" width="10.7109375" style="1"/>
    <col min="13063" max="13063" width="14.85546875" style="1" customWidth="1"/>
    <col min="13064" max="13064" width="0" style="1" hidden="1" customWidth="1"/>
    <col min="13065" max="13065" width="10.7109375" style="1"/>
    <col min="13066" max="13066" width="24.7109375" style="1" customWidth="1"/>
    <col min="13067" max="13313" width="10.7109375" style="1"/>
    <col min="13314" max="13314" width="8.140625" style="1" customWidth="1"/>
    <col min="13315" max="13315" width="35.140625" style="1" customWidth="1"/>
    <col min="13316" max="13316" width="8" style="1" customWidth="1"/>
    <col min="13317" max="13317" width="11.140625" style="1" customWidth="1"/>
    <col min="13318" max="13318" width="10.7109375" style="1"/>
    <col min="13319" max="13319" width="14.85546875" style="1" customWidth="1"/>
    <col min="13320" max="13320" width="0" style="1" hidden="1" customWidth="1"/>
    <col min="13321" max="13321" width="10.7109375" style="1"/>
    <col min="13322" max="13322" width="24.7109375" style="1" customWidth="1"/>
    <col min="13323" max="13569" width="10.7109375" style="1"/>
    <col min="13570" max="13570" width="8.140625" style="1" customWidth="1"/>
    <col min="13571" max="13571" width="35.140625" style="1" customWidth="1"/>
    <col min="13572" max="13572" width="8" style="1" customWidth="1"/>
    <col min="13573" max="13573" width="11.140625" style="1" customWidth="1"/>
    <col min="13574" max="13574" width="10.7109375" style="1"/>
    <col min="13575" max="13575" width="14.85546875" style="1" customWidth="1"/>
    <col min="13576" max="13576" width="0" style="1" hidden="1" customWidth="1"/>
    <col min="13577" max="13577" width="10.7109375" style="1"/>
    <col min="13578" max="13578" width="24.7109375" style="1" customWidth="1"/>
    <col min="13579" max="13825" width="10.7109375" style="1"/>
    <col min="13826" max="13826" width="8.140625" style="1" customWidth="1"/>
    <col min="13827" max="13827" width="35.140625" style="1" customWidth="1"/>
    <col min="13828" max="13828" width="8" style="1" customWidth="1"/>
    <col min="13829" max="13829" width="11.140625" style="1" customWidth="1"/>
    <col min="13830" max="13830" width="10.7109375" style="1"/>
    <col min="13831" max="13831" width="14.85546875" style="1" customWidth="1"/>
    <col min="13832" max="13832" width="0" style="1" hidden="1" customWidth="1"/>
    <col min="13833" max="13833" width="10.7109375" style="1"/>
    <col min="13834" max="13834" width="24.7109375" style="1" customWidth="1"/>
    <col min="13835" max="14081" width="10.7109375" style="1"/>
    <col min="14082" max="14082" width="8.140625" style="1" customWidth="1"/>
    <col min="14083" max="14083" width="35.140625" style="1" customWidth="1"/>
    <col min="14084" max="14084" width="8" style="1" customWidth="1"/>
    <col min="14085" max="14085" width="11.140625" style="1" customWidth="1"/>
    <col min="14086" max="14086" width="10.7109375" style="1"/>
    <col min="14087" max="14087" width="14.85546875" style="1" customWidth="1"/>
    <col min="14088" max="14088" width="0" style="1" hidden="1" customWidth="1"/>
    <col min="14089" max="14089" width="10.7109375" style="1"/>
    <col min="14090" max="14090" width="24.7109375" style="1" customWidth="1"/>
    <col min="14091" max="14337" width="10.7109375" style="1"/>
    <col min="14338" max="14338" width="8.140625" style="1" customWidth="1"/>
    <col min="14339" max="14339" width="35.140625" style="1" customWidth="1"/>
    <col min="14340" max="14340" width="8" style="1" customWidth="1"/>
    <col min="14341" max="14341" width="11.140625" style="1" customWidth="1"/>
    <col min="14342" max="14342" width="10.7109375" style="1"/>
    <col min="14343" max="14343" width="14.85546875" style="1" customWidth="1"/>
    <col min="14344" max="14344" width="0" style="1" hidden="1" customWidth="1"/>
    <col min="14345" max="14345" width="10.7109375" style="1"/>
    <col min="14346" max="14346" width="24.7109375" style="1" customWidth="1"/>
    <col min="14347" max="14593" width="10.7109375" style="1"/>
    <col min="14594" max="14594" width="8.140625" style="1" customWidth="1"/>
    <col min="14595" max="14595" width="35.140625" style="1" customWidth="1"/>
    <col min="14596" max="14596" width="8" style="1" customWidth="1"/>
    <col min="14597" max="14597" width="11.140625" style="1" customWidth="1"/>
    <col min="14598" max="14598" width="10.7109375" style="1"/>
    <col min="14599" max="14599" width="14.85546875" style="1" customWidth="1"/>
    <col min="14600" max="14600" width="0" style="1" hidden="1" customWidth="1"/>
    <col min="14601" max="14601" width="10.7109375" style="1"/>
    <col min="14602" max="14602" width="24.7109375" style="1" customWidth="1"/>
    <col min="14603" max="14849" width="10.7109375" style="1"/>
    <col min="14850" max="14850" width="8.140625" style="1" customWidth="1"/>
    <col min="14851" max="14851" width="35.140625" style="1" customWidth="1"/>
    <col min="14852" max="14852" width="8" style="1" customWidth="1"/>
    <col min="14853" max="14853" width="11.140625" style="1" customWidth="1"/>
    <col min="14854" max="14854" width="10.7109375" style="1"/>
    <col min="14855" max="14855" width="14.85546875" style="1" customWidth="1"/>
    <col min="14856" max="14856" width="0" style="1" hidden="1" customWidth="1"/>
    <col min="14857" max="14857" width="10.7109375" style="1"/>
    <col min="14858" max="14858" width="24.7109375" style="1" customWidth="1"/>
    <col min="14859" max="15105" width="10.7109375" style="1"/>
    <col min="15106" max="15106" width="8.140625" style="1" customWidth="1"/>
    <col min="15107" max="15107" width="35.140625" style="1" customWidth="1"/>
    <col min="15108" max="15108" width="8" style="1" customWidth="1"/>
    <col min="15109" max="15109" width="11.140625" style="1" customWidth="1"/>
    <col min="15110" max="15110" width="10.7109375" style="1"/>
    <col min="15111" max="15111" width="14.85546875" style="1" customWidth="1"/>
    <col min="15112" max="15112" width="0" style="1" hidden="1" customWidth="1"/>
    <col min="15113" max="15113" width="10.7109375" style="1"/>
    <col min="15114" max="15114" width="24.7109375" style="1" customWidth="1"/>
    <col min="15115" max="15361" width="10.7109375" style="1"/>
    <col min="15362" max="15362" width="8.140625" style="1" customWidth="1"/>
    <col min="15363" max="15363" width="35.140625" style="1" customWidth="1"/>
    <col min="15364" max="15364" width="8" style="1" customWidth="1"/>
    <col min="15365" max="15365" width="11.140625" style="1" customWidth="1"/>
    <col min="15366" max="15366" width="10.7109375" style="1"/>
    <col min="15367" max="15367" width="14.85546875" style="1" customWidth="1"/>
    <col min="15368" max="15368" width="0" style="1" hidden="1" customWidth="1"/>
    <col min="15369" max="15369" width="10.7109375" style="1"/>
    <col min="15370" max="15370" width="24.7109375" style="1" customWidth="1"/>
    <col min="15371" max="15617" width="10.7109375" style="1"/>
    <col min="15618" max="15618" width="8.140625" style="1" customWidth="1"/>
    <col min="15619" max="15619" width="35.140625" style="1" customWidth="1"/>
    <col min="15620" max="15620" width="8" style="1" customWidth="1"/>
    <col min="15621" max="15621" width="11.140625" style="1" customWidth="1"/>
    <col min="15622" max="15622" width="10.7109375" style="1"/>
    <col min="15623" max="15623" width="14.85546875" style="1" customWidth="1"/>
    <col min="15624" max="15624" width="0" style="1" hidden="1" customWidth="1"/>
    <col min="15625" max="15625" width="10.7109375" style="1"/>
    <col min="15626" max="15626" width="24.7109375" style="1" customWidth="1"/>
    <col min="15627" max="15873" width="10.7109375" style="1"/>
    <col min="15874" max="15874" width="8.140625" style="1" customWidth="1"/>
    <col min="15875" max="15875" width="35.140625" style="1" customWidth="1"/>
    <col min="15876" max="15876" width="8" style="1" customWidth="1"/>
    <col min="15877" max="15877" width="11.140625" style="1" customWidth="1"/>
    <col min="15878" max="15878" width="10.7109375" style="1"/>
    <col min="15879" max="15879" width="14.85546875" style="1" customWidth="1"/>
    <col min="15880" max="15880" width="0" style="1" hidden="1" customWidth="1"/>
    <col min="15881" max="15881" width="10.7109375" style="1"/>
    <col min="15882" max="15882" width="24.7109375" style="1" customWidth="1"/>
    <col min="15883" max="16129" width="10.7109375" style="1"/>
    <col min="16130" max="16130" width="8.140625" style="1" customWidth="1"/>
    <col min="16131" max="16131" width="35.140625" style="1" customWidth="1"/>
    <col min="16132" max="16132" width="8" style="1" customWidth="1"/>
    <col min="16133" max="16133" width="11.140625" style="1" customWidth="1"/>
    <col min="16134" max="16134" width="10.7109375" style="1"/>
    <col min="16135" max="16135" width="14.85546875" style="1" customWidth="1"/>
    <col min="16136" max="16136" width="0" style="1" hidden="1" customWidth="1"/>
    <col min="16137" max="16137" width="10.7109375" style="1"/>
    <col min="16138" max="16138" width="24.7109375" style="1" customWidth="1"/>
    <col min="16139" max="16384" width="10.7109375" style="1"/>
  </cols>
  <sheetData>
    <row r="4" spans="2:8" x14ac:dyDescent="0.2">
      <c r="D4" s="2"/>
    </row>
    <row r="5" spans="2:8" x14ac:dyDescent="0.2">
      <c r="D5" s="139"/>
      <c r="E5" s="139"/>
      <c r="F5" s="139"/>
      <c r="G5" s="139"/>
    </row>
    <row r="6" spans="2:8" x14ac:dyDescent="0.2">
      <c r="D6" s="2"/>
    </row>
    <row r="7" spans="2:8" x14ac:dyDescent="0.2">
      <c r="C7" s="4"/>
    </row>
    <row r="8" spans="2:8" x14ac:dyDescent="0.2">
      <c r="C8" s="2"/>
    </row>
    <row r="9" spans="2:8" x14ac:dyDescent="0.2">
      <c r="C9" s="2"/>
    </row>
    <row r="10" spans="2:8" x14ac:dyDescent="0.2">
      <c r="C10" s="2"/>
    </row>
    <row r="12" spans="2:8" ht="13.5" thickBot="1" x14ac:dyDescent="0.25"/>
    <row r="13" spans="2:8" ht="13.5" thickBot="1" x14ac:dyDescent="0.25">
      <c r="B13" s="5" t="s">
        <v>0</v>
      </c>
      <c r="C13" s="6" t="s">
        <v>1</v>
      </c>
      <c r="D13" s="6" t="s">
        <v>16</v>
      </c>
      <c r="E13" s="7" t="s">
        <v>17</v>
      </c>
      <c r="F13" s="8" t="s">
        <v>18</v>
      </c>
      <c r="G13" s="9" t="s">
        <v>19</v>
      </c>
    </row>
    <row r="14" spans="2:8" s="16" customFormat="1" x14ac:dyDescent="0.2">
      <c r="B14" s="10"/>
      <c r="C14" s="11" t="s">
        <v>20</v>
      </c>
      <c r="D14" s="12"/>
      <c r="E14" s="13"/>
      <c r="F14" s="14"/>
      <c r="G14" s="15">
        <f t="shared" ref="G14:G30" si="0">F14*E14</f>
        <v>0</v>
      </c>
      <c r="H14" s="14"/>
    </row>
    <row r="15" spans="2:8" s="16" customFormat="1" x14ac:dyDescent="0.2">
      <c r="B15" s="10"/>
      <c r="C15" s="11" t="s">
        <v>21</v>
      </c>
      <c r="D15" s="12" t="s">
        <v>15</v>
      </c>
      <c r="E15" s="13">
        <v>1</v>
      </c>
      <c r="F15" s="14">
        <v>130000</v>
      </c>
      <c r="G15" s="15">
        <f t="shared" si="0"/>
        <v>130000</v>
      </c>
      <c r="H15" s="14">
        <v>75000</v>
      </c>
    </row>
    <row r="16" spans="2:8" s="16" customFormat="1" x14ac:dyDescent="0.2">
      <c r="B16" s="10"/>
      <c r="C16" s="11" t="s">
        <v>22</v>
      </c>
      <c r="D16" s="12" t="s">
        <v>15</v>
      </c>
      <c r="E16" s="13">
        <v>1</v>
      </c>
      <c r="F16" s="14">
        <v>2500000</v>
      </c>
      <c r="G16" s="15">
        <f t="shared" si="0"/>
        <v>2500000</v>
      </c>
      <c r="H16" s="14"/>
    </row>
    <row r="17" spans="2:8" s="16" customFormat="1" x14ac:dyDescent="0.2">
      <c r="B17" s="10"/>
      <c r="C17" s="11" t="s">
        <v>23</v>
      </c>
      <c r="D17" s="12" t="s">
        <v>15</v>
      </c>
      <c r="E17" s="13">
        <v>1</v>
      </c>
      <c r="F17" s="14">
        <v>3000000</v>
      </c>
      <c r="G17" s="15">
        <f t="shared" si="0"/>
        <v>3000000</v>
      </c>
      <c r="H17" s="14"/>
    </row>
    <row r="18" spans="2:8" s="16" customFormat="1" x14ac:dyDescent="0.2">
      <c r="B18" s="10"/>
      <c r="C18" s="11" t="s">
        <v>24</v>
      </c>
      <c r="D18" s="12" t="s">
        <v>14</v>
      </c>
      <c r="E18" s="13">
        <v>2211</v>
      </c>
      <c r="F18" s="14">
        <v>14000</v>
      </c>
      <c r="G18" s="15">
        <f t="shared" si="0"/>
        <v>30954000</v>
      </c>
      <c r="H18" s="14"/>
    </row>
    <row r="19" spans="2:8" s="16" customFormat="1" x14ac:dyDescent="0.2">
      <c r="B19" s="10"/>
      <c r="C19" s="11" t="s">
        <v>25</v>
      </c>
      <c r="D19" s="12" t="s">
        <v>15</v>
      </c>
      <c r="E19" s="13">
        <v>1</v>
      </c>
      <c r="F19" s="14">
        <v>1500000</v>
      </c>
      <c r="G19" s="15">
        <f t="shared" si="0"/>
        <v>1500000</v>
      </c>
      <c r="H19" s="14">
        <v>120000</v>
      </c>
    </row>
    <row r="20" spans="2:8" s="16" customFormat="1" x14ac:dyDescent="0.2">
      <c r="B20" s="10"/>
      <c r="C20" s="11" t="s">
        <v>26</v>
      </c>
      <c r="D20" s="12" t="s">
        <v>10</v>
      </c>
      <c r="E20" s="13">
        <v>2</v>
      </c>
      <c r="F20" s="14">
        <v>1100000</v>
      </c>
      <c r="G20" s="15">
        <f t="shared" si="0"/>
        <v>2200000</v>
      </c>
      <c r="H20" s="14">
        <v>250000</v>
      </c>
    </row>
    <row r="21" spans="2:8" x14ac:dyDescent="0.2">
      <c r="B21" s="17"/>
      <c r="C21" s="18" t="s">
        <v>27</v>
      </c>
      <c r="D21" s="12" t="s">
        <v>10</v>
      </c>
      <c r="E21" s="19">
        <v>8</v>
      </c>
      <c r="F21" s="20">
        <v>35000</v>
      </c>
      <c r="G21" s="21">
        <f t="shared" si="0"/>
        <v>280000</v>
      </c>
      <c r="H21" s="20">
        <v>185000</v>
      </c>
    </row>
    <row r="22" spans="2:8" x14ac:dyDescent="0.2">
      <c r="B22" s="17"/>
      <c r="C22" s="18" t="s">
        <v>28</v>
      </c>
      <c r="D22" s="12" t="s">
        <v>10</v>
      </c>
      <c r="E22" s="19">
        <v>3</v>
      </c>
      <c r="F22" s="20">
        <v>45000</v>
      </c>
      <c r="G22" s="21">
        <f t="shared" si="0"/>
        <v>135000</v>
      </c>
      <c r="H22" s="20">
        <v>125000</v>
      </c>
    </row>
    <row r="23" spans="2:8" x14ac:dyDescent="0.2">
      <c r="B23" s="17"/>
      <c r="C23" s="18" t="s">
        <v>29</v>
      </c>
      <c r="D23" s="12" t="s">
        <v>10</v>
      </c>
      <c r="E23" s="19">
        <v>4</v>
      </c>
      <c r="F23" s="20">
        <v>45000</v>
      </c>
      <c r="G23" s="21">
        <f t="shared" si="0"/>
        <v>180000</v>
      </c>
      <c r="H23" s="20">
        <v>125000</v>
      </c>
    </row>
    <row r="24" spans="2:8" x14ac:dyDescent="0.2">
      <c r="B24" s="17"/>
      <c r="C24" s="18" t="s">
        <v>30</v>
      </c>
      <c r="D24" s="12" t="s">
        <v>10</v>
      </c>
      <c r="E24" s="19">
        <v>10</v>
      </c>
      <c r="F24" s="20">
        <v>45000</v>
      </c>
      <c r="G24" s="21">
        <f t="shared" si="0"/>
        <v>450000</v>
      </c>
      <c r="H24" s="20">
        <v>450000</v>
      </c>
    </row>
    <row r="25" spans="2:8" x14ac:dyDescent="0.2">
      <c r="B25" s="17"/>
      <c r="C25" s="18" t="s">
        <v>31</v>
      </c>
      <c r="D25" s="12" t="s">
        <v>10</v>
      </c>
      <c r="E25" s="19">
        <v>27</v>
      </c>
      <c r="F25" s="20">
        <v>45000</v>
      </c>
      <c r="G25" s="21">
        <f t="shared" si="0"/>
        <v>1215000</v>
      </c>
      <c r="H25" s="20">
        <v>350000</v>
      </c>
    </row>
    <row r="26" spans="2:8" x14ac:dyDescent="0.2">
      <c r="B26" s="17"/>
      <c r="C26" s="18" t="s">
        <v>32</v>
      </c>
      <c r="D26" s="12" t="s">
        <v>10</v>
      </c>
      <c r="E26" s="19">
        <v>19</v>
      </c>
      <c r="F26" s="20">
        <v>45000</v>
      </c>
      <c r="G26" s="21">
        <f t="shared" si="0"/>
        <v>855000</v>
      </c>
      <c r="H26" s="20">
        <v>225000</v>
      </c>
    </row>
    <row r="27" spans="2:8" x14ac:dyDescent="0.2">
      <c r="B27" s="17"/>
      <c r="C27" s="18" t="s">
        <v>41</v>
      </c>
      <c r="D27" s="12" t="s">
        <v>10</v>
      </c>
      <c r="E27" s="19">
        <v>4</v>
      </c>
      <c r="F27" s="20">
        <v>45000</v>
      </c>
      <c r="G27" s="21">
        <f t="shared" si="0"/>
        <v>180000</v>
      </c>
      <c r="H27" s="20"/>
    </row>
    <row r="28" spans="2:8" x14ac:dyDescent="0.2">
      <c r="B28" s="17"/>
      <c r="C28" s="18" t="s">
        <v>33</v>
      </c>
      <c r="D28" s="12" t="s">
        <v>10</v>
      </c>
      <c r="E28" s="19">
        <v>8</v>
      </c>
      <c r="F28" s="20">
        <f>H28/E28</f>
        <v>156250</v>
      </c>
      <c r="G28" s="21">
        <f t="shared" si="0"/>
        <v>1250000</v>
      </c>
      <c r="H28" s="20">
        <v>1250000</v>
      </c>
    </row>
    <row r="29" spans="2:8" x14ac:dyDescent="0.2">
      <c r="B29" s="17"/>
      <c r="C29" s="18" t="s">
        <v>34</v>
      </c>
      <c r="D29" s="12" t="s">
        <v>10</v>
      </c>
      <c r="E29" s="19">
        <v>18</v>
      </c>
      <c r="F29" s="20">
        <v>15000</v>
      </c>
      <c r="G29" s="21"/>
      <c r="H29" s="20"/>
    </row>
    <row r="30" spans="2:8" x14ac:dyDescent="0.2">
      <c r="B30" s="17"/>
      <c r="C30" s="18" t="s">
        <v>35</v>
      </c>
      <c r="D30" s="12" t="s">
        <v>10</v>
      </c>
      <c r="E30" s="19">
        <v>37</v>
      </c>
      <c r="F30" s="20">
        <v>15000</v>
      </c>
      <c r="G30" s="21">
        <f t="shared" si="0"/>
        <v>555000</v>
      </c>
      <c r="H30" s="20"/>
    </row>
    <row r="31" spans="2:8" ht="13.5" thickBot="1" x14ac:dyDescent="0.25">
      <c r="D31" s="22" t="s">
        <v>9</v>
      </c>
      <c r="E31" s="23"/>
      <c r="F31" s="24"/>
      <c r="G31" s="25">
        <f>SUM(G14:G30)</f>
        <v>45384000</v>
      </c>
    </row>
    <row r="32" spans="2:8" ht="13.5" thickBot="1" x14ac:dyDescent="0.25">
      <c r="D32" s="26" t="s">
        <v>36</v>
      </c>
      <c r="E32" s="27"/>
      <c r="F32" s="28">
        <v>7.0000000000000007E-2</v>
      </c>
      <c r="G32" s="29">
        <f>SUM(G31*F32)</f>
        <v>3176880.0000000005</v>
      </c>
    </row>
    <row r="33" spans="3:7" ht="13.5" thickBot="1" x14ac:dyDescent="0.25">
      <c r="D33" s="26" t="s">
        <v>37</v>
      </c>
      <c r="E33" s="27"/>
      <c r="F33" s="28">
        <v>7.0000000000000007E-2</v>
      </c>
      <c r="G33" s="29">
        <f>SUM(G31*F33)</f>
        <v>3176880.0000000005</v>
      </c>
    </row>
    <row r="34" spans="3:7" ht="13.5" thickBot="1" x14ac:dyDescent="0.25">
      <c r="D34" s="30" t="s">
        <v>38</v>
      </c>
      <c r="E34" s="31"/>
      <c r="F34" s="32"/>
      <c r="G34" s="33">
        <f>SUM(G31:G33)</f>
        <v>51737760</v>
      </c>
    </row>
    <row r="35" spans="3:7" ht="13.5" thickBot="1" x14ac:dyDescent="0.25">
      <c r="D35" s="30" t="s">
        <v>39</v>
      </c>
      <c r="E35" s="31"/>
      <c r="F35" s="32"/>
      <c r="G35" s="33">
        <f>G34*0.19</f>
        <v>9830174.4000000004</v>
      </c>
    </row>
    <row r="36" spans="3:7" ht="13.5" thickBot="1" x14ac:dyDescent="0.25">
      <c r="D36" s="34" t="s">
        <v>40</v>
      </c>
      <c r="E36" s="35"/>
      <c r="F36" s="36"/>
      <c r="G36" s="37">
        <f>SUM(G34:G35)</f>
        <v>61567934.399999999</v>
      </c>
    </row>
    <row r="37" spans="3:7" x14ac:dyDescent="0.2">
      <c r="G37" s="38"/>
    </row>
    <row r="38" spans="3:7" x14ac:dyDescent="0.2">
      <c r="G38" s="38"/>
    </row>
    <row r="39" spans="3:7" x14ac:dyDescent="0.2">
      <c r="C39" s="39"/>
      <c r="G39" s="38"/>
    </row>
    <row r="40" spans="3:7" x14ac:dyDescent="0.2">
      <c r="C40" s="39"/>
    </row>
  </sheetData>
  <mergeCells count="1">
    <mergeCell ref="D5:G5"/>
  </mergeCells>
  <pageMargins left="1.1811023622047245" right="0.78740157480314965" top="0.78740157480314965" bottom="0.98425196850393704" header="0" footer="0"/>
  <pageSetup scale="9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632"/>
  <sheetViews>
    <sheetView tabSelected="1" showRuler="0" view="pageBreakPreview" zoomScale="85" zoomScaleNormal="100" zoomScaleSheetLayoutView="85" zoomScalePageLayoutView="55" workbookViewId="0">
      <selection activeCell="A7" sqref="A7:F7"/>
    </sheetView>
  </sheetViews>
  <sheetFormatPr baseColWidth="10" defaultRowHeight="15" x14ac:dyDescent="0.25"/>
  <cols>
    <col min="1" max="1" width="8.5703125" style="47" customWidth="1"/>
    <col min="2" max="2" width="68.28515625" style="47" customWidth="1"/>
    <col min="3" max="3" width="12.7109375" style="47" customWidth="1"/>
    <col min="4" max="4" width="13.85546875" style="82" bestFit="1" customWidth="1"/>
    <col min="5" max="5" width="18.85546875" style="47" bestFit="1" customWidth="1"/>
    <col min="6" max="6" width="18.42578125" style="47" bestFit="1" customWidth="1"/>
    <col min="7" max="7" width="13.5703125" style="47" customWidth="1"/>
    <col min="8" max="10" width="15.42578125" style="47" bestFit="1" customWidth="1"/>
    <col min="11" max="16384" width="11.42578125" style="47"/>
  </cols>
  <sheetData>
    <row r="1" spans="1:10" ht="17.100000000000001" customHeight="1" x14ac:dyDescent="0.25">
      <c r="F1" s="100" t="s">
        <v>627</v>
      </c>
    </row>
    <row r="2" spans="1:10" ht="17.100000000000001" customHeight="1" x14ac:dyDescent="0.25">
      <c r="F2" s="101" t="s">
        <v>628</v>
      </c>
    </row>
    <row r="3" spans="1:10" ht="17.100000000000001" customHeight="1" x14ac:dyDescent="0.25">
      <c r="F3" s="101" t="s">
        <v>626</v>
      </c>
    </row>
    <row r="4" spans="1:10" ht="17.100000000000001" customHeight="1" thickBot="1" x14ac:dyDescent="0.3">
      <c r="F4" s="102">
        <v>44810</v>
      </c>
    </row>
    <row r="5" spans="1:10" ht="17.100000000000001" customHeight="1" x14ac:dyDescent="0.25">
      <c r="A5" s="144" t="s">
        <v>613</v>
      </c>
      <c r="B5" s="145"/>
      <c r="C5" s="145"/>
      <c r="D5" s="145"/>
      <c r="E5" s="145"/>
      <c r="F5" s="146"/>
      <c r="H5" s="147"/>
      <c r="I5" s="147"/>
      <c r="J5" s="147"/>
    </row>
    <row r="6" spans="1:10" ht="17.100000000000001" customHeight="1" x14ac:dyDescent="0.25">
      <c r="A6" s="148" t="s">
        <v>630</v>
      </c>
      <c r="B6" s="149"/>
      <c r="C6" s="149"/>
      <c r="D6" s="149"/>
      <c r="E6" s="149"/>
      <c r="F6" s="150"/>
      <c r="H6" s="147"/>
      <c r="I6" s="147"/>
      <c r="J6" s="147"/>
    </row>
    <row r="7" spans="1:10" ht="17.100000000000001" customHeight="1" x14ac:dyDescent="0.25">
      <c r="A7" s="148" t="s">
        <v>629</v>
      </c>
      <c r="B7" s="149"/>
      <c r="C7" s="149"/>
      <c r="D7" s="149"/>
      <c r="E7" s="149"/>
      <c r="F7" s="150"/>
      <c r="H7" s="147"/>
      <c r="I7" s="147"/>
      <c r="J7" s="147"/>
    </row>
    <row r="8" spans="1:10" ht="17.100000000000001" customHeight="1" thickBot="1" x14ac:dyDescent="0.3">
      <c r="A8" s="140" t="s">
        <v>718</v>
      </c>
      <c r="B8" s="141"/>
      <c r="C8" s="141"/>
      <c r="D8" s="141"/>
      <c r="E8" s="141"/>
      <c r="F8" s="142"/>
    </row>
    <row r="9" spans="1:10" ht="17.100000000000001" customHeight="1" x14ac:dyDescent="0.25"/>
    <row r="10" spans="1:10" ht="15.95" customHeight="1" thickBot="1" x14ac:dyDescent="0.3">
      <c r="A10" s="40" t="s">
        <v>0</v>
      </c>
      <c r="B10" s="93" t="s">
        <v>1</v>
      </c>
      <c r="C10" s="93" t="s">
        <v>2</v>
      </c>
      <c r="D10" s="98" t="s">
        <v>3</v>
      </c>
      <c r="E10" s="93" t="s">
        <v>4</v>
      </c>
      <c r="F10" s="93" t="s">
        <v>5</v>
      </c>
    </row>
    <row r="11" spans="1:10" ht="15.95" customHeight="1" thickBot="1" x14ac:dyDescent="0.3">
      <c r="A11" s="99">
        <v>1</v>
      </c>
      <c r="B11" s="54" t="s">
        <v>11</v>
      </c>
      <c r="C11" s="55"/>
      <c r="D11" s="56"/>
      <c r="E11" s="57"/>
      <c r="F11" s="57"/>
      <c r="G11" s="83"/>
      <c r="H11" s="84">
        <f>SUM(F12:F16)</f>
        <v>0</v>
      </c>
    </row>
    <row r="12" spans="1:10" ht="15.95" customHeight="1" x14ac:dyDescent="0.25">
      <c r="A12" s="41" t="s">
        <v>7</v>
      </c>
      <c r="B12" s="42" t="s">
        <v>107</v>
      </c>
      <c r="C12" s="40" t="s">
        <v>125</v>
      </c>
      <c r="D12" s="43">
        <v>1</v>
      </c>
      <c r="E12" s="44"/>
      <c r="F12" s="44"/>
    </row>
    <row r="13" spans="1:10" ht="15.95" customHeight="1" x14ac:dyDescent="0.25">
      <c r="A13" s="41" t="s">
        <v>42</v>
      </c>
      <c r="B13" s="42" t="s">
        <v>114</v>
      </c>
      <c r="C13" s="40" t="s">
        <v>125</v>
      </c>
      <c r="D13" s="43">
        <v>1</v>
      </c>
      <c r="E13" s="44"/>
      <c r="F13" s="44"/>
      <c r="G13" s="84"/>
    </row>
    <row r="14" spans="1:10" ht="15.95" customHeight="1" x14ac:dyDescent="0.25">
      <c r="A14" s="41" t="s">
        <v>58</v>
      </c>
      <c r="B14" s="42" t="s">
        <v>115</v>
      </c>
      <c r="C14" s="40" t="s">
        <v>126</v>
      </c>
      <c r="D14" s="43">
        <v>100</v>
      </c>
      <c r="E14" s="44"/>
      <c r="F14" s="44"/>
      <c r="G14" s="84"/>
    </row>
    <row r="15" spans="1:10" ht="15.95" customHeight="1" x14ac:dyDescent="0.25">
      <c r="A15" s="41" t="s">
        <v>59</v>
      </c>
      <c r="B15" s="42" t="s">
        <v>106</v>
      </c>
      <c r="C15" s="40" t="s">
        <v>6</v>
      </c>
      <c r="D15" s="43">
        <v>300</v>
      </c>
      <c r="E15" s="44"/>
      <c r="F15" s="44"/>
      <c r="G15" s="84"/>
    </row>
    <row r="16" spans="1:10" ht="15.95" customHeight="1" thickBot="1" x14ac:dyDescent="0.3">
      <c r="A16" s="41" t="s">
        <v>104</v>
      </c>
      <c r="B16" s="42" t="s">
        <v>105</v>
      </c>
      <c r="C16" s="40" t="s">
        <v>125</v>
      </c>
      <c r="D16" s="43">
        <v>1</v>
      </c>
      <c r="E16" s="44"/>
      <c r="F16" s="44"/>
      <c r="G16" s="84"/>
    </row>
    <row r="17" spans="1:8" ht="15.95" customHeight="1" thickBot="1" x14ac:dyDescent="0.3">
      <c r="A17" s="99" t="s">
        <v>65</v>
      </c>
      <c r="B17" s="54" t="s">
        <v>598</v>
      </c>
      <c r="C17" s="59"/>
      <c r="D17" s="60"/>
      <c r="E17" s="61"/>
      <c r="F17" s="61"/>
      <c r="H17" s="84">
        <f>SUM(H18:H254)</f>
        <v>0</v>
      </c>
    </row>
    <row r="18" spans="1:8" ht="15.95" customHeight="1" thickBot="1" x14ac:dyDescent="0.3">
      <c r="A18" s="99" t="s">
        <v>12</v>
      </c>
      <c r="B18" s="54" t="s">
        <v>131</v>
      </c>
      <c r="C18" s="59"/>
      <c r="D18" s="60"/>
      <c r="E18" s="62"/>
      <c r="F18" s="62"/>
      <c r="H18" s="84">
        <f>SUM(F19:F33)</f>
        <v>0</v>
      </c>
    </row>
    <row r="19" spans="1:8" ht="15.95" customHeight="1" x14ac:dyDescent="0.25">
      <c r="A19" s="41" t="s">
        <v>66</v>
      </c>
      <c r="B19" s="42" t="s">
        <v>129</v>
      </c>
      <c r="C19" s="40" t="s">
        <v>6</v>
      </c>
      <c r="D19" s="45">
        <f>15.44*2.9-2-D25</f>
        <v>41.372</v>
      </c>
      <c r="E19" s="44"/>
      <c r="F19" s="44"/>
    </row>
    <row r="20" spans="1:8" ht="15.95" customHeight="1" x14ac:dyDescent="0.25">
      <c r="A20" s="41" t="s">
        <v>43</v>
      </c>
      <c r="B20" s="42" t="s">
        <v>130</v>
      </c>
      <c r="C20" s="40" t="s">
        <v>6</v>
      </c>
      <c r="D20" s="45">
        <v>13</v>
      </c>
      <c r="E20" s="44"/>
      <c r="F20" s="44"/>
    </row>
    <row r="21" spans="1:8" ht="15.95" customHeight="1" x14ac:dyDescent="0.25">
      <c r="A21" s="41" t="s">
        <v>44</v>
      </c>
      <c r="B21" s="42" t="s">
        <v>210</v>
      </c>
      <c r="C21" s="40" t="s">
        <v>125</v>
      </c>
      <c r="D21" s="45">
        <v>1</v>
      </c>
      <c r="E21" s="44"/>
      <c r="F21" s="44"/>
    </row>
    <row r="22" spans="1:8" ht="15.95" customHeight="1" x14ac:dyDescent="0.25">
      <c r="A22" s="41" t="s">
        <v>61</v>
      </c>
      <c r="B22" s="42" t="s">
        <v>601</v>
      </c>
      <c r="C22" s="40" t="s">
        <v>125</v>
      </c>
      <c r="D22" s="45">
        <v>1</v>
      </c>
      <c r="E22" s="44"/>
      <c r="F22" s="44"/>
    </row>
    <row r="23" spans="1:8" ht="15.95" customHeight="1" x14ac:dyDescent="0.25">
      <c r="A23" s="41" t="s">
        <v>155</v>
      </c>
      <c r="B23" s="42" t="s">
        <v>455</v>
      </c>
      <c r="C23" s="40" t="s">
        <v>125</v>
      </c>
      <c r="D23" s="45">
        <v>1</v>
      </c>
      <c r="E23" s="44"/>
      <c r="F23" s="44"/>
    </row>
    <row r="24" spans="1:8" ht="15.95" customHeight="1" x14ac:dyDescent="0.25">
      <c r="A24" s="41" t="s">
        <v>62</v>
      </c>
      <c r="B24" s="42" t="s">
        <v>117</v>
      </c>
      <c r="C24" s="40" t="s">
        <v>6</v>
      </c>
      <c r="D24" s="45">
        <f>1.17*1.2</f>
        <v>1.4039999999999999</v>
      </c>
      <c r="E24" s="44"/>
      <c r="F24" s="44"/>
    </row>
    <row r="25" spans="1:8" ht="15.95" customHeight="1" x14ac:dyDescent="0.25">
      <c r="A25" s="41" t="s">
        <v>63</v>
      </c>
      <c r="B25" s="42" t="s">
        <v>599</v>
      </c>
      <c r="C25" s="40" t="s">
        <v>6</v>
      </c>
      <c r="D25" s="45">
        <f>+D24</f>
        <v>1.4039999999999999</v>
      </c>
      <c r="E25" s="44"/>
      <c r="F25" s="44"/>
    </row>
    <row r="26" spans="1:8" ht="15.95" customHeight="1" x14ac:dyDescent="0.25">
      <c r="A26" s="41" t="s">
        <v>64</v>
      </c>
      <c r="B26" s="76" t="s">
        <v>632</v>
      </c>
      <c r="C26" s="77" t="s">
        <v>126</v>
      </c>
      <c r="D26" s="78">
        <f>12.56*2</f>
        <v>25.12</v>
      </c>
      <c r="E26" s="79"/>
      <c r="F26" s="44"/>
    </row>
    <row r="27" spans="1:8" ht="15.95" customHeight="1" x14ac:dyDescent="0.25">
      <c r="A27" s="41" t="s">
        <v>545</v>
      </c>
      <c r="B27" s="76" t="s">
        <v>633</v>
      </c>
      <c r="C27" s="77" t="s">
        <v>125</v>
      </c>
      <c r="D27" s="78">
        <v>3</v>
      </c>
      <c r="E27" s="79"/>
      <c r="F27" s="44"/>
    </row>
    <row r="28" spans="1:8" ht="15.95" customHeight="1" x14ac:dyDescent="0.25">
      <c r="A28" s="41" t="s">
        <v>546</v>
      </c>
      <c r="B28" s="76" t="s">
        <v>634</v>
      </c>
      <c r="C28" s="77" t="s">
        <v>125</v>
      </c>
      <c r="D28" s="78">
        <v>1</v>
      </c>
      <c r="E28" s="79"/>
      <c r="F28" s="44"/>
    </row>
    <row r="29" spans="1:8" ht="15.95" customHeight="1" x14ac:dyDescent="0.25">
      <c r="A29" s="41" t="s">
        <v>550</v>
      </c>
      <c r="B29" s="42" t="s">
        <v>610</v>
      </c>
      <c r="C29" s="40" t="s">
        <v>125</v>
      </c>
      <c r="D29" s="45">
        <v>2</v>
      </c>
      <c r="E29" s="44"/>
      <c r="F29" s="44"/>
    </row>
    <row r="30" spans="1:8" ht="15.95" customHeight="1" x14ac:dyDescent="0.25">
      <c r="A30" s="41" t="s">
        <v>553</v>
      </c>
      <c r="B30" s="42" t="s">
        <v>549</v>
      </c>
      <c r="C30" s="40" t="s">
        <v>125</v>
      </c>
      <c r="D30" s="43">
        <v>1</v>
      </c>
      <c r="E30" s="44"/>
      <c r="F30" s="44"/>
    </row>
    <row r="31" spans="1:8" ht="15.95" customHeight="1" x14ac:dyDescent="0.25">
      <c r="A31" s="41" t="s">
        <v>680</v>
      </c>
      <c r="B31" s="42" t="s">
        <v>551</v>
      </c>
      <c r="C31" s="40" t="s">
        <v>125</v>
      </c>
      <c r="D31" s="43">
        <v>1</v>
      </c>
      <c r="E31" s="44"/>
      <c r="F31" s="44"/>
    </row>
    <row r="32" spans="1:8" ht="15.95" customHeight="1" x14ac:dyDescent="0.25">
      <c r="A32" s="41" t="s">
        <v>681</v>
      </c>
      <c r="B32" s="42" t="s">
        <v>552</v>
      </c>
      <c r="C32" s="40" t="s">
        <v>125</v>
      </c>
      <c r="D32" s="43">
        <v>1</v>
      </c>
      <c r="E32" s="44"/>
      <c r="F32" s="44"/>
    </row>
    <row r="33" spans="1:8" ht="15.95" customHeight="1" thickBot="1" x14ac:dyDescent="0.3">
      <c r="A33" s="41" t="s">
        <v>682</v>
      </c>
      <c r="B33" s="42" t="s">
        <v>554</v>
      </c>
      <c r="C33" s="40" t="s">
        <v>6</v>
      </c>
      <c r="D33" s="45">
        <f>1.5*1.5</f>
        <v>2.25</v>
      </c>
      <c r="E33" s="44"/>
      <c r="F33" s="44"/>
    </row>
    <row r="34" spans="1:8" ht="15.95" customHeight="1" thickBot="1" x14ac:dyDescent="0.3">
      <c r="A34" s="99" t="s">
        <v>13</v>
      </c>
      <c r="B34" s="54" t="s">
        <v>132</v>
      </c>
      <c r="C34" s="55"/>
      <c r="D34" s="63"/>
      <c r="E34" s="57"/>
      <c r="F34" s="57"/>
      <c r="H34" s="84">
        <f>SUM(F35:F50)</f>
        <v>0</v>
      </c>
    </row>
    <row r="35" spans="1:8" ht="15.95" customHeight="1" x14ac:dyDescent="0.25">
      <c r="A35" s="41" t="s">
        <v>46</v>
      </c>
      <c r="B35" s="42" t="s">
        <v>128</v>
      </c>
      <c r="C35" s="40" t="s">
        <v>126</v>
      </c>
      <c r="D35" s="45">
        <v>11.88</v>
      </c>
      <c r="E35" s="44"/>
      <c r="F35" s="44"/>
    </row>
    <row r="36" spans="1:8" ht="15.95" customHeight="1" x14ac:dyDescent="0.25">
      <c r="A36" s="41" t="s">
        <v>47</v>
      </c>
      <c r="B36" s="42" t="s">
        <v>606</v>
      </c>
      <c r="C36" s="40" t="s">
        <v>6</v>
      </c>
      <c r="D36" s="45">
        <v>8.82</v>
      </c>
      <c r="E36" s="44"/>
      <c r="F36" s="44"/>
    </row>
    <row r="37" spans="1:8" ht="15.95" customHeight="1" x14ac:dyDescent="0.25">
      <c r="A37" s="41" t="s">
        <v>56</v>
      </c>
      <c r="B37" s="42" t="s">
        <v>129</v>
      </c>
      <c r="C37" s="40" t="s">
        <v>6</v>
      </c>
      <c r="D37" s="45">
        <f>+D35*2.6-2</f>
        <v>28.888000000000002</v>
      </c>
      <c r="E37" s="44"/>
      <c r="F37" s="44"/>
    </row>
    <row r="38" spans="1:8" ht="15.95" customHeight="1" x14ac:dyDescent="0.25">
      <c r="A38" s="41" t="s">
        <v>60</v>
      </c>
      <c r="B38" s="42" t="s">
        <v>130</v>
      </c>
      <c r="C38" s="40" t="s">
        <v>6</v>
      </c>
      <c r="D38" s="45">
        <f>+D36</f>
        <v>8.82</v>
      </c>
      <c r="E38" s="44"/>
      <c r="F38" s="44"/>
    </row>
    <row r="39" spans="1:8" ht="15.95" customHeight="1" x14ac:dyDescent="0.25">
      <c r="A39" s="41" t="s">
        <v>122</v>
      </c>
      <c r="B39" s="42" t="s">
        <v>210</v>
      </c>
      <c r="C39" s="40" t="s">
        <v>125</v>
      </c>
      <c r="D39" s="45">
        <v>1</v>
      </c>
      <c r="E39" s="44"/>
      <c r="F39" s="44"/>
    </row>
    <row r="40" spans="1:8" ht="15.95" customHeight="1" x14ac:dyDescent="0.25">
      <c r="A40" s="41" t="s">
        <v>67</v>
      </c>
      <c r="B40" s="42" t="s">
        <v>601</v>
      </c>
      <c r="C40" s="40" t="s">
        <v>125</v>
      </c>
      <c r="D40" s="45">
        <v>1</v>
      </c>
      <c r="E40" s="44"/>
      <c r="F40" s="44"/>
    </row>
    <row r="41" spans="1:8" ht="15.95" customHeight="1" x14ac:dyDescent="0.25">
      <c r="A41" s="41" t="s">
        <v>68</v>
      </c>
      <c r="B41" s="42" t="s">
        <v>455</v>
      </c>
      <c r="C41" s="40" t="s">
        <v>125</v>
      </c>
      <c r="D41" s="45">
        <v>1</v>
      </c>
      <c r="E41" s="44"/>
      <c r="F41" s="44"/>
    </row>
    <row r="42" spans="1:8" ht="15.95" customHeight="1" x14ac:dyDescent="0.25">
      <c r="A42" s="41" t="s">
        <v>69</v>
      </c>
      <c r="B42" s="42" t="s">
        <v>117</v>
      </c>
      <c r="C42" s="40" t="s">
        <v>6</v>
      </c>
      <c r="D42" s="45">
        <f>1.17*1.2</f>
        <v>1.4039999999999999</v>
      </c>
      <c r="E42" s="44"/>
      <c r="F42" s="44"/>
    </row>
    <row r="43" spans="1:8" ht="15.95" customHeight="1" x14ac:dyDescent="0.25">
      <c r="A43" s="41" t="s">
        <v>70</v>
      </c>
      <c r="B43" s="42" t="s">
        <v>599</v>
      </c>
      <c r="C43" s="40" t="s">
        <v>6</v>
      </c>
      <c r="D43" s="45">
        <f>+D42</f>
        <v>1.4039999999999999</v>
      </c>
      <c r="E43" s="44"/>
      <c r="F43" s="44"/>
    </row>
    <row r="44" spans="1:8" ht="15.95" customHeight="1" x14ac:dyDescent="0.25">
      <c r="A44" s="41" t="s">
        <v>156</v>
      </c>
      <c r="B44" s="76" t="s">
        <v>632</v>
      </c>
      <c r="C44" s="77" t="s">
        <v>126</v>
      </c>
      <c r="D44" s="78">
        <f>12*2</f>
        <v>24</v>
      </c>
      <c r="E44" s="79"/>
      <c r="F44" s="44"/>
    </row>
    <row r="45" spans="1:8" ht="15.95" customHeight="1" x14ac:dyDescent="0.25">
      <c r="A45" s="41" t="s">
        <v>451</v>
      </c>
      <c r="B45" s="76" t="s">
        <v>633</v>
      </c>
      <c r="C45" s="77" t="s">
        <v>125</v>
      </c>
      <c r="D45" s="78">
        <v>3</v>
      </c>
      <c r="E45" s="79"/>
      <c r="F45" s="44"/>
    </row>
    <row r="46" spans="1:8" ht="15.95" customHeight="1" x14ac:dyDescent="0.25">
      <c r="A46" s="41" t="s">
        <v>452</v>
      </c>
      <c r="B46" s="76" t="s">
        <v>634</v>
      </c>
      <c r="C46" s="77" t="s">
        <v>125</v>
      </c>
      <c r="D46" s="78">
        <v>1</v>
      </c>
      <c r="E46" s="79"/>
      <c r="F46" s="44"/>
    </row>
    <row r="47" spans="1:8" ht="15.95" customHeight="1" x14ac:dyDescent="0.25">
      <c r="A47" s="41" t="s">
        <v>555</v>
      </c>
      <c r="B47" s="42" t="s">
        <v>610</v>
      </c>
      <c r="C47" s="40" t="s">
        <v>125</v>
      </c>
      <c r="D47" s="45">
        <v>2</v>
      </c>
      <c r="E47" s="44"/>
      <c r="F47" s="44"/>
    </row>
    <row r="48" spans="1:8" ht="15.95" customHeight="1" x14ac:dyDescent="0.25">
      <c r="A48" s="41" t="s">
        <v>683</v>
      </c>
      <c r="B48" s="42" t="s">
        <v>453</v>
      </c>
      <c r="C48" s="40" t="s">
        <v>6</v>
      </c>
      <c r="D48" s="45">
        <f>+D47</f>
        <v>2</v>
      </c>
      <c r="E48" s="44"/>
      <c r="F48" s="44"/>
    </row>
    <row r="49" spans="1:8" ht="15.95" customHeight="1" x14ac:dyDescent="0.25">
      <c r="A49" s="41" t="s">
        <v>684</v>
      </c>
      <c r="B49" s="42" t="s">
        <v>475</v>
      </c>
      <c r="C49" s="40" t="s">
        <v>6</v>
      </c>
      <c r="D49" s="45">
        <f>+D48</f>
        <v>2</v>
      </c>
      <c r="E49" s="44"/>
      <c r="F49" s="44"/>
    </row>
    <row r="50" spans="1:8" ht="15.95" customHeight="1" thickBot="1" x14ac:dyDescent="0.3">
      <c r="A50" s="41" t="s">
        <v>685</v>
      </c>
      <c r="B50" s="42" t="s">
        <v>554</v>
      </c>
      <c r="C50" s="40" t="s">
        <v>6</v>
      </c>
      <c r="D50" s="45">
        <f>1.5*1.5</f>
        <v>2.25</v>
      </c>
      <c r="E50" s="44"/>
      <c r="F50" s="44"/>
    </row>
    <row r="51" spans="1:8" ht="15.95" customHeight="1" thickBot="1" x14ac:dyDescent="0.3">
      <c r="A51" s="99" t="s">
        <v>134</v>
      </c>
      <c r="B51" s="54" t="s">
        <v>133</v>
      </c>
      <c r="C51" s="55"/>
      <c r="D51" s="63"/>
      <c r="E51" s="57"/>
      <c r="F51" s="57"/>
      <c r="H51" s="84">
        <f>SUM(F52:F65)</f>
        <v>0</v>
      </c>
    </row>
    <row r="52" spans="1:8" ht="15.95" customHeight="1" x14ac:dyDescent="0.25">
      <c r="A52" s="41" t="s">
        <v>157</v>
      </c>
      <c r="B52" s="42" t="s">
        <v>128</v>
      </c>
      <c r="C52" s="40" t="s">
        <v>126</v>
      </c>
      <c r="D52" s="45">
        <v>15.22</v>
      </c>
      <c r="E52" s="44"/>
      <c r="F52" s="44"/>
    </row>
    <row r="53" spans="1:8" ht="15.95" customHeight="1" x14ac:dyDescent="0.25">
      <c r="A53" s="41" t="s">
        <v>158</v>
      </c>
      <c r="B53" s="42" t="s">
        <v>606</v>
      </c>
      <c r="C53" s="40" t="s">
        <v>6</v>
      </c>
      <c r="D53" s="45">
        <v>14.44</v>
      </c>
      <c r="E53" s="44"/>
      <c r="F53" s="44"/>
    </row>
    <row r="54" spans="1:8" ht="15.95" customHeight="1" x14ac:dyDescent="0.25">
      <c r="A54" s="41" t="s">
        <v>159</v>
      </c>
      <c r="B54" s="42" t="s">
        <v>129</v>
      </c>
      <c r="C54" s="40" t="s">
        <v>6</v>
      </c>
      <c r="D54" s="45">
        <f>+D52*2.6-2</f>
        <v>37.572000000000003</v>
      </c>
      <c r="E54" s="44"/>
      <c r="F54" s="44"/>
    </row>
    <row r="55" spans="1:8" ht="15.95" customHeight="1" x14ac:dyDescent="0.25">
      <c r="A55" s="41" t="s">
        <v>160</v>
      </c>
      <c r="B55" s="42" t="s">
        <v>130</v>
      </c>
      <c r="C55" s="40" t="s">
        <v>6</v>
      </c>
      <c r="D55" s="45">
        <f>+D53</f>
        <v>14.44</v>
      </c>
      <c r="E55" s="44"/>
      <c r="F55" s="44"/>
    </row>
    <row r="56" spans="1:8" ht="15.95" customHeight="1" x14ac:dyDescent="0.25">
      <c r="A56" s="41" t="s">
        <v>161</v>
      </c>
      <c r="B56" s="42" t="s">
        <v>210</v>
      </c>
      <c r="C56" s="40" t="s">
        <v>125</v>
      </c>
      <c r="D56" s="45">
        <v>1</v>
      </c>
      <c r="E56" s="44"/>
      <c r="F56" s="44"/>
    </row>
    <row r="57" spans="1:8" ht="15.95" customHeight="1" x14ac:dyDescent="0.25">
      <c r="A57" s="41" t="s">
        <v>162</v>
      </c>
      <c r="B57" s="42" t="s">
        <v>601</v>
      </c>
      <c r="C57" s="40" t="s">
        <v>125</v>
      </c>
      <c r="D57" s="45">
        <v>1</v>
      </c>
      <c r="E57" s="44"/>
      <c r="F57" s="44"/>
    </row>
    <row r="58" spans="1:8" ht="15.95" customHeight="1" x14ac:dyDescent="0.25">
      <c r="A58" s="41" t="s">
        <v>163</v>
      </c>
      <c r="B58" s="42" t="s">
        <v>455</v>
      </c>
      <c r="C58" s="40" t="s">
        <v>125</v>
      </c>
      <c r="D58" s="45">
        <v>1</v>
      </c>
      <c r="E58" s="44"/>
      <c r="F58" s="44"/>
    </row>
    <row r="59" spans="1:8" ht="15.95" customHeight="1" x14ac:dyDescent="0.25">
      <c r="A59" s="41" t="s">
        <v>164</v>
      </c>
      <c r="B59" s="42" t="s">
        <v>117</v>
      </c>
      <c r="C59" s="40" t="s">
        <v>6</v>
      </c>
      <c r="D59" s="45">
        <f>1.17*1.2</f>
        <v>1.4039999999999999</v>
      </c>
      <c r="E59" s="44"/>
      <c r="F59" s="44"/>
    </row>
    <row r="60" spans="1:8" ht="15.95" customHeight="1" x14ac:dyDescent="0.25">
      <c r="A60" s="41" t="s">
        <v>165</v>
      </c>
      <c r="B60" s="42" t="s">
        <v>599</v>
      </c>
      <c r="C60" s="40" t="s">
        <v>6</v>
      </c>
      <c r="D60" s="45">
        <f>+D59</f>
        <v>1.4039999999999999</v>
      </c>
      <c r="E60" s="44"/>
      <c r="F60" s="44"/>
    </row>
    <row r="61" spans="1:8" ht="15.95" customHeight="1" x14ac:dyDescent="0.25">
      <c r="A61" s="41" t="s">
        <v>166</v>
      </c>
      <c r="B61" s="76" t="s">
        <v>632</v>
      </c>
      <c r="C61" s="77" t="s">
        <v>126</v>
      </c>
      <c r="D61" s="78">
        <f>15.52*2</f>
        <v>31.04</v>
      </c>
      <c r="E61" s="79"/>
      <c r="F61" s="44"/>
    </row>
    <row r="62" spans="1:8" ht="15.95" customHeight="1" x14ac:dyDescent="0.25">
      <c r="A62" s="41" t="s">
        <v>556</v>
      </c>
      <c r="B62" s="76" t="s">
        <v>633</v>
      </c>
      <c r="C62" s="77" t="s">
        <v>125</v>
      </c>
      <c r="D62" s="78">
        <v>3</v>
      </c>
      <c r="E62" s="79"/>
      <c r="F62" s="44"/>
    </row>
    <row r="63" spans="1:8" ht="15.95" customHeight="1" x14ac:dyDescent="0.25">
      <c r="A63" s="41" t="s">
        <v>686</v>
      </c>
      <c r="B63" s="76" t="s">
        <v>634</v>
      </c>
      <c r="C63" s="77" t="s">
        <v>125</v>
      </c>
      <c r="D63" s="78">
        <v>1</v>
      </c>
      <c r="E63" s="79"/>
      <c r="F63" s="44"/>
    </row>
    <row r="64" spans="1:8" ht="15.95" customHeight="1" x14ac:dyDescent="0.25">
      <c r="A64" s="41" t="s">
        <v>687</v>
      </c>
      <c r="B64" s="42" t="s">
        <v>610</v>
      </c>
      <c r="C64" s="40" t="s">
        <v>125</v>
      </c>
      <c r="D64" s="45">
        <v>2</v>
      </c>
      <c r="E64" s="44"/>
      <c r="F64" s="44"/>
    </row>
    <row r="65" spans="1:8" ht="15.95" customHeight="1" thickBot="1" x14ac:dyDescent="0.3">
      <c r="A65" s="41" t="s">
        <v>688</v>
      </c>
      <c r="B65" s="42" t="s">
        <v>554</v>
      </c>
      <c r="C65" s="40" t="s">
        <v>6</v>
      </c>
      <c r="D65" s="45">
        <f>1.5*1.5</f>
        <v>2.25</v>
      </c>
      <c r="E65" s="44"/>
      <c r="F65" s="44"/>
    </row>
    <row r="66" spans="1:8" ht="15.95" customHeight="1" thickBot="1" x14ac:dyDescent="0.3">
      <c r="A66" s="99" t="s">
        <v>135</v>
      </c>
      <c r="B66" s="54" t="s">
        <v>136</v>
      </c>
      <c r="C66" s="55"/>
      <c r="D66" s="63"/>
      <c r="E66" s="57"/>
      <c r="F66" s="57"/>
      <c r="H66" s="84">
        <f>SUM(F67:F80)</f>
        <v>0</v>
      </c>
    </row>
    <row r="67" spans="1:8" ht="15.95" customHeight="1" x14ac:dyDescent="0.25">
      <c r="A67" s="41" t="s">
        <v>167</v>
      </c>
      <c r="B67" s="42" t="s">
        <v>128</v>
      </c>
      <c r="C67" s="40" t="s">
        <v>126</v>
      </c>
      <c r="D67" s="45">
        <v>15.22</v>
      </c>
      <c r="E67" s="44"/>
      <c r="F67" s="44"/>
    </row>
    <row r="68" spans="1:8" ht="15.95" customHeight="1" x14ac:dyDescent="0.25">
      <c r="A68" s="41" t="s">
        <v>168</v>
      </c>
      <c r="B68" s="42" t="s">
        <v>606</v>
      </c>
      <c r="C68" s="40" t="s">
        <v>6</v>
      </c>
      <c r="D68" s="45">
        <v>14.44</v>
      </c>
      <c r="E68" s="44"/>
      <c r="F68" s="44"/>
    </row>
    <row r="69" spans="1:8" ht="15.95" customHeight="1" x14ac:dyDescent="0.25">
      <c r="A69" s="41" t="s">
        <v>169</v>
      </c>
      <c r="B69" s="42" t="s">
        <v>129</v>
      </c>
      <c r="C69" s="40" t="s">
        <v>6</v>
      </c>
      <c r="D69" s="45">
        <f>+D67*2.6-2</f>
        <v>37.572000000000003</v>
      </c>
      <c r="E69" s="44"/>
      <c r="F69" s="44"/>
    </row>
    <row r="70" spans="1:8" ht="15.95" customHeight="1" x14ac:dyDescent="0.25">
      <c r="A70" s="41" t="s">
        <v>170</v>
      </c>
      <c r="B70" s="42" t="s">
        <v>130</v>
      </c>
      <c r="C70" s="40" t="s">
        <v>6</v>
      </c>
      <c r="D70" s="45">
        <f>+D68</f>
        <v>14.44</v>
      </c>
      <c r="E70" s="44"/>
      <c r="F70" s="44"/>
    </row>
    <row r="71" spans="1:8" ht="15.95" customHeight="1" x14ac:dyDescent="0.25">
      <c r="A71" s="41" t="s">
        <v>171</v>
      </c>
      <c r="B71" s="42" t="s">
        <v>210</v>
      </c>
      <c r="C71" s="40" t="s">
        <v>125</v>
      </c>
      <c r="D71" s="45">
        <v>1</v>
      </c>
      <c r="E71" s="44"/>
      <c r="F71" s="44"/>
    </row>
    <row r="72" spans="1:8" ht="15.95" customHeight="1" x14ac:dyDescent="0.25">
      <c r="A72" s="41" t="s">
        <v>172</v>
      </c>
      <c r="B72" s="42" t="s">
        <v>601</v>
      </c>
      <c r="C72" s="40" t="s">
        <v>125</v>
      </c>
      <c r="D72" s="45">
        <v>1</v>
      </c>
      <c r="E72" s="44"/>
      <c r="F72" s="44"/>
    </row>
    <row r="73" spans="1:8" ht="15.95" customHeight="1" x14ac:dyDescent="0.25">
      <c r="A73" s="41" t="s">
        <v>173</v>
      </c>
      <c r="B73" s="42" t="s">
        <v>455</v>
      </c>
      <c r="C73" s="40" t="s">
        <v>125</v>
      </c>
      <c r="D73" s="45">
        <v>1</v>
      </c>
      <c r="E73" s="44"/>
      <c r="F73" s="44"/>
    </row>
    <row r="74" spans="1:8" ht="15.95" customHeight="1" x14ac:dyDescent="0.25">
      <c r="A74" s="41" t="s">
        <v>174</v>
      </c>
      <c r="B74" s="42" t="s">
        <v>117</v>
      </c>
      <c r="C74" s="40" t="s">
        <v>6</v>
      </c>
      <c r="D74" s="45">
        <f>1.17*1.2</f>
        <v>1.4039999999999999</v>
      </c>
      <c r="E74" s="44"/>
      <c r="F74" s="44"/>
    </row>
    <row r="75" spans="1:8" ht="15.95" customHeight="1" x14ac:dyDescent="0.25">
      <c r="A75" s="41" t="s">
        <v>175</v>
      </c>
      <c r="B75" s="42" t="s">
        <v>599</v>
      </c>
      <c r="C75" s="40" t="s">
        <v>6</v>
      </c>
      <c r="D75" s="45">
        <f>+D74</f>
        <v>1.4039999999999999</v>
      </c>
      <c r="E75" s="44"/>
      <c r="F75" s="44"/>
    </row>
    <row r="76" spans="1:8" ht="15.95" customHeight="1" x14ac:dyDescent="0.25">
      <c r="A76" s="41" t="s">
        <v>176</v>
      </c>
      <c r="B76" s="76" t="s">
        <v>632</v>
      </c>
      <c r="C76" s="77" t="s">
        <v>126</v>
      </c>
      <c r="D76" s="78">
        <f>15.54*2</f>
        <v>31.08</v>
      </c>
      <c r="E76" s="79"/>
      <c r="F76" s="44"/>
    </row>
    <row r="77" spans="1:8" ht="15.95" customHeight="1" x14ac:dyDescent="0.25">
      <c r="A77" s="41" t="s">
        <v>557</v>
      </c>
      <c r="B77" s="76" t="s">
        <v>633</v>
      </c>
      <c r="C77" s="77" t="s">
        <v>125</v>
      </c>
      <c r="D77" s="78">
        <v>3</v>
      </c>
      <c r="E77" s="79"/>
      <c r="F77" s="44"/>
    </row>
    <row r="78" spans="1:8" ht="15.95" customHeight="1" x14ac:dyDescent="0.25">
      <c r="A78" s="41" t="s">
        <v>689</v>
      </c>
      <c r="B78" s="76" t="s">
        <v>634</v>
      </c>
      <c r="C78" s="77" t="s">
        <v>125</v>
      </c>
      <c r="D78" s="78">
        <v>1</v>
      </c>
      <c r="E78" s="79"/>
      <c r="F78" s="44"/>
    </row>
    <row r="79" spans="1:8" ht="15.95" customHeight="1" x14ac:dyDescent="0.25">
      <c r="A79" s="41" t="s">
        <v>690</v>
      </c>
      <c r="B79" s="42" t="s">
        <v>610</v>
      </c>
      <c r="C79" s="40" t="s">
        <v>125</v>
      </c>
      <c r="D79" s="45">
        <v>2</v>
      </c>
      <c r="E79" s="44"/>
      <c r="F79" s="44"/>
    </row>
    <row r="80" spans="1:8" ht="15.95" customHeight="1" thickBot="1" x14ac:dyDescent="0.3">
      <c r="A80" s="41" t="s">
        <v>691</v>
      </c>
      <c r="B80" s="42" t="s">
        <v>554</v>
      </c>
      <c r="C80" s="40" t="s">
        <v>6</v>
      </c>
      <c r="D80" s="45">
        <f>1.5*1.5</f>
        <v>2.25</v>
      </c>
      <c r="E80" s="44"/>
      <c r="F80" s="44"/>
    </row>
    <row r="81" spans="1:8" ht="15.95" customHeight="1" thickBot="1" x14ac:dyDescent="0.3">
      <c r="A81" s="99" t="s">
        <v>137</v>
      </c>
      <c r="B81" s="54" t="s">
        <v>469</v>
      </c>
      <c r="C81" s="55"/>
      <c r="D81" s="63"/>
      <c r="E81" s="57"/>
      <c r="F81" s="57"/>
      <c r="H81" s="84">
        <f>SUM(F82:F95)</f>
        <v>0</v>
      </c>
    </row>
    <row r="82" spans="1:8" ht="15.95" customHeight="1" x14ac:dyDescent="0.25">
      <c r="A82" s="41" t="s">
        <v>177</v>
      </c>
      <c r="B82" s="42" t="s">
        <v>128</v>
      </c>
      <c r="C82" s="40" t="s">
        <v>126</v>
      </c>
      <c r="D82" s="45">
        <v>13.9</v>
      </c>
      <c r="E82" s="44"/>
      <c r="F82" s="44"/>
    </row>
    <row r="83" spans="1:8" ht="15.95" customHeight="1" x14ac:dyDescent="0.25">
      <c r="A83" s="41" t="s">
        <v>178</v>
      </c>
      <c r="B83" s="42" t="s">
        <v>606</v>
      </c>
      <c r="C83" s="40" t="s">
        <v>6</v>
      </c>
      <c r="D83" s="45">
        <v>11.77</v>
      </c>
      <c r="E83" s="44"/>
      <c r="F83" s="44"/>
    </row>
    <row r="84" spans="1:8" ht="15.95" customHeight="1" x14ac:dyDescent="0.25">
      <c r="A84" s="41" t="s">
        <v>179</v>
      </c>
      <c r="B84" s="42" t="s">
        <v>129</v>
      </c>
      <c r="C84" s="40" t="s">
        <v>6</v>
      </c>
      <c r="D84" s="45">
        <f>+D82*2.6-2</f>
        <v>34.14</v>
      </c>
      <c r="E84" s="44"/>
      <c r="F84" s="44"/>
    </row>
    <row r="85" spans="1:8" ht="15.95" customHeight="1" x14ac:dyDescent="0.25">
      <c r="A85" s="41" t="s">
        <v>180</v>
      </c>
      <c r="B85" s="42" t="s">
        <v>130</v>
      </c>
      <c r="C85" s="40" t="s">
        <v>6</v>
      </c>
      <c r="D85" s="45">
        <f>+D83</f>
        <v>11.77</v>
      </c>
      <c r="E85" s="44"/>
      <c r="F85" s="44"/>
    </row>
    <row r="86" spans="1:8" ht="15.95" customHeight="1" x14ac:dyDescent="0.25">
      <c r="A86" s="41" t="s">
        <v>181</v>
      </c>
      <c r="B86" s="42" t="s">
        <v>210</v>
      </c>
      <c r="C86" s="40" t="s">
        <v>125</v>
      </c>
      <c r="D86" s="45">
        <v>1</v>
      </c>
      <c r="E86" s="44"/>
      <c r="F86" s="44"/>
    </row>
    <row r="87" spans="1:8" ht="15.95" customHeight="1" x14ac:dyDescent="0.25">
      <c r="A87" s="41" t="s">
        <v>182</v>
      </c>
      <c r="B87" s="42" t="s">
        <v>601</v>
      </c>
      <c r="C87" s="40" t="s">
        <v>125</v>
      </c>
      <c r="D87" s="45">
        <v>1</v>
      </c>
      <c r="E87" s="44"/>
      <c r="F87" s="44"/>
    </row>
    <row r="88" spans="1:8" ht="15.95" customHeight="1" x14ac:dyDescent="0.25">
      <c r="A88" s="41" t="s">
        <v>183</v>
      </c>
      <c r="B88" s="42" t="s">
        <v>455</v>
      </c>
      <c r="C88" s="40" t="s">
        <v>125</v>
      </c>
      <c r="D88" s="45">
        <v>1</v>
      </c>
      <c r="E88" s="44"/>
      <c r="F88" s="44"/>
    </row>
    <row r="89" spans="1:8" ht="15.95" customHeight="1" x14ac:dyDescent="0.25">
      <c r="A89" s="41" t="s">
        <v>184</v>
      </c>
      <c r="B89" s="42" t="s">
        <v>117</v>
      </c>
      <c r="C89" s="40" t="s">
        <v>6</v>
      </c>
      <c r="D89" s="45">
        <f>1.17*1.2</f>
        <v>1.4039999999999999</v>
      </c>
      <c r="E89" s="44"/>
      <c r="F89" s="44"/>
    </row>
    <row r="90" spans="1:8" ht="15.95" customHeight="1" x14ac:dyDescent="0.25">
      <c r="A90" s="41" t="s">
        <v>185</v>
      </c>
      <c r="B90" s="42" t="s">
        <v>599</v>
      </c>
      <c r="C90" s="40" t="s">
        <v>6</v>
      </c>
      <c r="D90" s="45">
        <f>+D89</f>
        <v>1.4039999999999999</v>
      </c>
      <c r="E90" s="44"/>
      <c r="F90" s="44"/>
    </row>
    <row r="91" spans="1:8" ht="15.95" customHeight="1" x14ac:dyDescent="0.25">
      <c r="A91" s="41" t="s">
        <v>186</v>
      </c>
      <c r="B91" s="76" t="s">
        <v>632</v>
      </c>
      <c r="C91" s="77" t="s">
        <v>126</v>
      </c>
      <c r="D91" s="78">
        <f>14.5*2</f>
        <v>29</v>
      </c>
      <c r="E91" s="79"/>
      <c r="F91" s="44"/>
    </row>
    <row r="92" spans="1:8" ht="15.95" customHeight="1" x14ac:dyDescent="0.25">
      <c r="A92" s="41" t="s">
        <v>558</v>
      </c>
      <c r="B92" s="76" t="s">
        <v>633</v>
      </c>
      <c r="C92" s="77" t="s">
        <v>125</v>
      </c>
      <c r="D92" s="78">
        <v>2</v>
      </c>
      <c r="E92" s="79"/>
      <c r="F92" s="44"/>
    </row>
    <row r="93" spans="1:8" ht="15.95" customHeight="1" x14ac:dyDescent="0.25">
      <c r="A93" s="41" t="s">
        <v>692</v>
      </c>
      <c r="B93" s="76" t="s">
        <v>634</v>
      </c>
      <c r="C93" s="77" t="s">
        <v>125</v>
      </c>
      <c r="D93" s="78">
        <v>1</v>
      </c>
      <c r="E93" s="79"/>
      <c r="F93" s="44"/>
    </row>
    <row r="94" spans="1:8" ht="15.95" customHeight="1" x14ac:dyDescent="0.25">
      <c r="A94" s="41" t="s">
        <v>693</v>
      </c>
      <c r="B94" s="42" t="s">
        <v>610</v>
      </c>
      <c r="C94" s="40" t="s">
        <v>125</v>
      </c>
      <c r="D94" s="45">
        <v>2</v>
      </c>
      <c r="E94" s="44"/>
      <c r="F94" s="44"/>
    </row>
    <row r="95" spans="1:8" ht="15.95" customHeight="1" thickBot="1" x14ac:dyDescent="0.3">
      <c r="A95" s="41" t="s">
        <v>694</v>
      </c>
      <c r="B95" s="42" t="s">
        <v>554</v>
      </c>
      <c r="C95" s="40" t="s">
        <v>6</v>
      </c>
      <c r="D95" s="45">
        <f>1.5*1.5</f>
        <v>2.25</v>
      </c>
      <c r="E95" s="44"/>
      <c r="F95" s="44"/>
    </row>
    <row r="96" spans="1:8" ht="15.95" customHeight="1" thickBot="1" x14ac:dyDescent="0.3">
      <c r="A96" s="99" t="s">
        <v>139</v>
      </c>
      <c r="B96" s="54" t="s">
        <v>138</v>
      </c>
      <c r="C96" s="55"/>
      <c r="D96" s="63"/>
      <c r="E96" s="57"/>
      <c r="F96" s="57"/>
      <c r="H96" s="84">
        <f>SUM(F97:F111)</f>
        <v>0</v>
      </c>
    </row>
    <row r="97" spans="1:8" ht="15.95" customHeight="1" x14ac:dyDescent="0.25">
      <c r="A97" s="41" t="s">
        <v>187</v>
      </c>
      <c r="B97" s="42" t="s">
        <v>128</v>
      </c>
      <c r="C97" s="40" t="s">
        <v>126</v>
      </c>
      <c r="D97" s="45">
        <v>18.86</v>
      </c>
      <c r="E97" s="44"/>
      <c r="F97" s="44"/>
    </row>
    <row r="98" spans="1:8" ht="15.95" customHeight="1" x14ac:dyDescent="0.25">
      <c r="A98" s="41" t="s">
        <v>188</v>
      </c>
      <c r="B98" s="42" t="s">
        <v>606</v>
      </c>
      <c r="C98" s="40" t="s">
        <v>6</v>
      </c>
      <c r="D98" s="45">
        <v>21.72</v>
      </c>
      <c r="E98" s="44"/>
      <c r="F98" s="44"/>
    </row>
    <row r="99" spans="1:8" ht="15.95" customHeight="1" x14ac:dyDescent="0.25">
      <c r="A99" s="41" t="s">
        <v>189</v>
      </c>
      <c r="B99" s="42" t="s">
        <v>129</v>
      </c>
      <c r="C99" s="40" t="s">
        <v>6</v>
      </c>
      <c r="D99" s="45">
        <f>+D97*2.6-2</f>
        <v>47.036000000000001</v>
      </c>
      <c r="E99" s="44"/>
      <c r="F99" s="44"/>
    </row>
    <row r="100" spans="1:8" ht="15.95" customHeight="1" x14ac:dyDescent="0.25">
      <c r="A100" s="41" t="s">
        <v>190</v>
      </c>
      <c r="B100" s="42" t="s">
        <v>130</v>
      </c>
      <c r="C100" s="40" t="s">
        <v>6</v>
      </c>
      <c r="D100" s="45">
        <f>+D98</f>
        <v>21.72</v>
      </c>
      <c r="E100" s="44"/>
      <c r="F100" s="44"/>
    </row>
    <row r="101" spans="1:8" ht="15.95" customHeight="1" x14ac:dyDescent="0.25">
      <c r="A101" s="41" t="s">
        <v>191</v>
      </c>
      <c r="B101" s="42" t="s">
        <v>210</v>
      </c>
      <c r="C101" s="40" t="s">
        <v>125</v>
      </c>
      <c r="D101" s="45">
        <v>2</v>
      </c>
      <c r="E101" s="44"/>
      <c r="F101" s="44"/>
    </row>
    <row r="102" spans="1:8" ht="15.95" customHeight="1" x14ac:dyDescent="0.25">
      <c r="A102" s="41" t="s">
        <v>192</v>
      </c>
      <c r="B102" s="42" t="s">
        <v>601</v>
      </c>
      <c r="C102" s="40" t="s">
        <v>125</v>
      </c>
      <c r="D102" s="45">
        <v>2</v>
      </c>
      <c r="E102" s="44"/>
      <c r="F102" s="44"/>
    </row>
    <row r="103" spans="1:8" ht="15.95" customHeight="1" x14ac:dyDescent="0.25">
      <c r="A103" s="41" t="s">
        <v>193</v>
      </c>
      <c r="B103" s="42" t="s">
        <v>455</v>
      </c>
      <c r="C103" s="40" t="s">
        <v>125</v>
      </c>
      <c r="D103" s="45">
        <v>1</v>
      </c>
      <c r="E103" s="44"/>
      <c r="F103" s="44"/>
    </row>
    <row r="104" spans="1:8" ht="15.95" customHeight="1" x14ac:dyDescent="0.25">
      <c r="A104" s="41" t="s">
        <v>194</v>
      </c>
      <c r="B104" s="42" t="s">
        <v>117</v>
      </c>
      <c r="C104" s="40" t="s">
        <v>6</v>
      </c>
      <c r="D104" s="45">
        <f>1.17*1.2*2</f>
        <v>2.8079999999999998</v>
      </c>
      <c r="E104" s="44"/>
      <c r="F104" s="44"/>
    </row>
    <row r="105" spans="1:8" ht="15.95" customHeight="1" x14ac:dyDescent="0.25">
      <c r="A105" s="41" t="s">
        <v>195</v>
      </c>
      <c r="B105" s="42" t="s">
        <v>599</v>
      </c>
      <c r="C105" s="40" t="s">
        <v>6</v>
      </c>
      <c r="D105" s="45">
        <f>+D104</f>
        <v>2.8079999999999998</v>
      </c>
      <c r="E105" s="44"/>
      <c r="F105" s="44"/>
    </row>
    <row r="106" spans="1:8" ht="15.95" customHeight="1" x14ac:dyDescent="0.25">
      <c r="A106" s="41" t="s">
        <v>196</v>
      </c>
      <c r="B106" s="76" t="s">
        <v>632</v>
      </c>
      <c r="C106" s="77" t="s">
        <v>126</v>
      </c>
      <c r="D106" s="78">
        <f>18.86*2</f>
        <v>37.72</v>
      </c>
      <c r="E106" s="79"/>
      <c r="F106" s="44"/>
    </row>
    <row r="107" spans="1:8" ht="15.95" customHeight="1" x14ac:dyDescent="0.25">
      <c r="A107" s="41" t="s">
        <v>548</v>
      </c>
      <c r="B107" s="76" t="s">
        <v>633</v>
      </c>
      <c r="C107" s="77" t="s">
        <v>125</v>
      </c>
      <c r="D107" s="78">
        <v>4</v>
      </c>
      <c r="E107" s="79"/>
      <c r="F107" s="44"/>
    </row>
    <row r="108" spans="1:8" ht="15.95" customHeight="1" x14ac:dyDescent="0.25">
      <c r="A108" s="41" t="s">
        <v>559</v>
      </c>
      <c r="B108" s="76" t="s">
        <v>634</v>
      </c>
      <c r="C108" s="77" t="s">
        <v>125</v>
      </c>
      <c r="D108" s="78">
        <v>1</v>
      </c>
      <c r="E108" s="79"/>
      <c r="F108" s="44"/>
    </row>
    <row r="109" spans="1:8" ht="15.95" customHeight="1" x14ac:dyDescent="0.25">
      <c r="A109" s="41" t="s">
        <v>695</v>
      </c>
      <c r="B109" s="42" t="s">
        <v>610</v>
      </c>
      <c r="C109" s="40" t="s">
        <v>125</v>
      </c>
      <c r="D109" s="45">
        <v>3</v>
      </c>
      <c r="E109" s="44"/>
      <c r="F109" s="44"/>
    </row>
    <row r="110" spans="1:8" ht="15.95" customHeight="1" x14ac:dyDescent="0.25">
      <c r="A110" s="41" t="s">
        <v>696</v>
      </c>
      <c r="B110" s="42" t="s">
        <v>464</v>
      </c>
      <c r="C110" s="40" t="s">
        <v>6</v>
      </c>
      <c r="D110" s="45">
        <f>2.47*3</f>
        <v>7.41</v>
      </c>
      <c r="E110" s="44"/>
      <c r="F110" s="44"/>
    </row>
    <row r="111" spans="1:8" ht="15.95" customHeight="1" thickBot="1" x14ac:dyDescent="0.3">
      <c r="A111" s="41" t="s">
        <v>697</v>
      </c>
      <c r="B111" s="42" t="s">
        <v>554</v>
      </c>
      <c r="C111" s="40" t="s">
        <v>6</v>
      </c>
      <c r="D111" s="45">
        <f>3*1.5</f>
        <v>4.5</v>
      </c>
      <c r="E111" s="44"/>
      <c r="F111" s="44"/>
    </row>
    <row r="112" spans="1:8" ht="15.95" customHeight="1" thickBot="1" x14ac:dyDescent="0.3">
      <c r="A112" s="99" t="s">
        <v>141</v>
      </c>
      <c r="B112" s="54" t="s">
        <v>140</v>
      </c>
      <c r="C112" s="55"/>
      <c r="D112" s="63"/>
      <c r="E112" s="57"/>
      <c r="F112" s="57"/>
      <c r="H112" s="84">
        <f>SUM(F113:F125)</f>
        <v>0</v>
      </c>
    </row>
    <row r="113" spans="1:8" ht="15.95" customHeight="1" x14ac:dyDescent="0.25">
      <c r="A113" s="41" t="s">
        <v>197</v>
      </c>
      <c r="B113" s="42" t="s">
        <v>128</v>
      </c>
      <c r="C113" s="40" t="s">
        <v>126</v>
      </c>
      <c r="D113" s="45">
        <v>15.28</v>
      </c>
      <c r="E113" s="44"/>
      <c r="F113" s="44"/>
    </row>
    <row r="114" spans="1:8" ht="15.95" customHeight="1" x14ac:dyDescent="0.25">
      <c r="A114" s="41" t="s">
        <v>198</v>
      </c>
      <c r="B114" s="42" t="s">
        <v>606</v>
      </c>
      <c r="C114" s="40" t="s">
        <v>6</v>
      </c>
      <c r="D114" s="45">
        <v>14.56</v>
      </c>
      <c r="E114" s="44"/>
      <c r="F114" s="44"/>
    </row>
    <row r="115" spans="1:8" ht="15.95" customHeight="1" x14ac:dyDescent="0.25">
      <c r="A115" s="41" t="s">
        <v>199</v>
      </c>
      <c r="B115" s="42" t="s">
        <v>129</v>
      </c>
      <c r="C115" s="40" t="s">
        <v>6</v>
      </c>
      <c r="D115" s="45">
        <f>+D113*2.6-2</f>
        <v>37.728000000000002</v>
      </c>
      <c r="E115" s="44"/>
      <c r="F115" s="44"/>
    </row>
    <row r="116" spans="1:8" ht="15.95" customHeight="1" x14ac:dyDescent="0.25">
      <c r="A116" s="41" t="s">
        <v>200</v>
      </c>
      <c r="B116" s="42" t="s">
        <v>130</v>
      </c>
      <c r="C116" s="40" t="s">
        <v>6</v>
      </c>
      <c r="D116" s="45">
        <f>+D114</f>
        <v>14.56</v>
      </c>
      <c r="E116" s="44"/>
      <c r="F116" s="44"/>
    </row>
    <row r="117" spans="1:8" ht="15.95" customHeight="1" x14ac:dyDescent="0.25">
      <c r="A117" s="41" t="s">
        <v>461</v>
      </c>
      <c r="B117" s="42" t="s">
        <v>455</v>
      </c>
      <c r="C117" s="40" t="s">
        <v>125</v>
      </c>
      <c r="D117" s="45">
        <v>1</v>
      </c>
      <c r="E117" s="44"/>
      <c r="F117" s="44"/>
    </row>
    <row r="118" spans="1:8" ht="15.95" customHeight="1" x14ac:dyDescent="0.25">
      <c r="A118" s="41" t="s">
        <v>201</v>
      </c>
      <c r="B118" s="42" t="s">
        <v>117</v>
      </c>
      <c r="C118" s="40" t="s">
        <v>6</v>
      </c>
      <c r="D118" s="45">
        <f>1.17*1.2*1</f>
        <v>1.4039999999999999</v>
      </c>
      <c r="E118" s="44"/>
      <c r="F118" s="44"/>
    </row>
    <row r="119" spans="1:8" ht="15.95" customHeight="1" x14ac:dyDescent="0.25">
      <c r="A119" s="41" t="s">
        <v>202</v>
      </c>
      <c r="B119" s="42" t="s">
        <v>599</v>
      </c>
      <c r="C119" s="40" t="s">
        <v>6</v>
      </c>
      <c r="D119" s="45">
        <f>+D118</f>
        <v>1.4039999999999999</v>
      </c>
      <c r="E119" s="44"/>
      <c r="F119" s="44"/>
    </row>
    <row r="120" spans="1:8" ht="15.95" customHeight="1" x14ac:dyDescent="0.25">
      <c r="A120" s="41" t="s">
        <v>203</v>
      </c>
      <c r="B120" s="76" t="s">
        <v>632</v>
      </c>
      <c r="C120" s="77" t="s">
        <v>126</v>
      </c>
      <c r="D120" s="78">
        <f>14.06*2</f>
        <v>28.12</v>
      </c>
      <c r="E120" s="79"/>
      <c r="F120" s="44"/>
    </row>
    <row r="121" spans="1:8" ht="15.95" customHeight="1" x14ac:dyDescent="0.25">
      <c r="A121" s="41" t="s">
        <v>698</v>
      </c>
      <c r="B121" s="76" t="s">
        <v>633</v>
      </c>
      <c r="C121" s="77" t="s">
        <v>125</v>
      </c>
      <c r="D121" s="78">
        <v>4</v>
      </c>
      <c r="E121" s="79"/>
      <c r="F121" s="44"/>
    </row>
    <row r="122" spans="1:8" ht="15.95" customHeight="1" x14ac:dyDescent="0.25">
      <c r="A122" s="41" t="s">
        <v>699</v>
      </c>
      <c r="B122" s="76" t="s">
        <v>634</v>
      </c>
      <c r="C122" s="77" t="s">
        <v>125</v>
      </c>
      <c r="D122" s="78">
        <v>1</v>
      </c>
      <c r="E122" s="79"/>
      <c r="F122" s="44"/>
    </row>
    <row r="123" spans="1:8" ht="15.95" customHeight="1" x14ac:dyDescent="0.25">
      <c r="A123" s="41" t="s">
        <v>700</v>
      </c>
      <c r="B123" s="42" t="s">
        <v>610</v>
      </c>
      <c r="C123" s="40" t="s">
        <v>125</v>
      </c>
      <c r="D123" s="45">
        <v>2</v>
      </c>
      <c r="E123" s="44"/>
      <c r="F123" s="44"/>
    </row>
    <row r="124" spans="1:8" ht="15.95" customHeight="1" x14ac:dyDescent="0.25">
      <c r="A124" s="41" t="s">
        <v>702</v>
      </c>
      <c r="B124" s="42" t="s">
        <v>547</v>
      </c>
      <c r="C124" s="40" t="s">
        <v>6</v>
      </c>
      <c r="D124" s="45">
        <f>4*1</f>
        <v>4</v>
      </c>
      <c r="E124" s="44"/>
      <c r="F124" s="44"/>
    </row>
    <row r="125" spans="1:8" ht="15.95" customHeight="1" thickBot="1" x14ac:dyDescent="0.3">
      <c r="A125" s="41" t="s">
        <v>703</v>
      </c>
      <c r="B125" s="42" t="s">
        <v>465</v>
      </c>
      <c r="C125" s="40" t="s">
        <v>6</v>
      </c>
      <c r="D125" s="45">
        <f>4*1.2</f>
        <v>4.8</v>
      </c>
      <c r="E125" s="44"/>
      <c r="F125" s="44"/>
    </row>
    <row r="126" spans="1:8" ht="15.95" customHeight="1" thickBot="1" x14ac:dyDescent="0.3">
      <c r="A126" s="99" t="s">
        <v>143</v>
      </c>
      <c r="B126" s="54" t="s">
        <v>142</v>
      </c>
      <c r="C126" s="55"/>
      <c r="D126" s="63"/>
      <c r="E126" s="57"/>
      <c r="F126" s="57"/>
      <c r="H126" s="84">
        <f>SUM(F127:F134)</f>
        <v>0</v>
      </c>
    </row>
    <row r="127" spans="1:8" ht="15.95" customHeight="1" x14ac:dyDescent="0.25">
      <c r="A127" s="41" t="s">
        <v>204</v>
      </c>
      <c r="B127" s="42" t="s">
        <v>128</v>
      </c>
      <c r="C127" s="40" t="s">
        <v>126</v>
      </c>
      <c r="D127" s="45">
        <v>38.22</v>
      </c>
      <c r="E127" s="44"/>
      <c r="F127" s="44"/>
    </row>
    <row r="128" spans="1:8" ht="15.95" customHeight="1" x14ac:dyDescent="0.25">
      <c r="A128" s="41" t="s">
        <v>206</v>
      </c>
      <c r="B128" s="42" t="s">
        <v>606</v>
      </c>
      <c r="C128" s="40" t="s">
        <v>6</v>
      </c>
      <c r="D128" s="45">
        <v>33.229999999999997</v>
      </c>
      <c r="E128" s="44"/>
      <c r="F128" s="44"/>
    </row>
    <row r="129" spans="1:8" ht="15.95" customHeight="1" x14ac:dyDescent="0.25">
      <c r="A129" s="41" t="s">
        <v>205</v>
      </c>
      <c r="B129" s="42" t="s">
        <v>129</v>
      </c>
      <c r="C129" s="40" t="s">
        <v>6</v>
      </c>
      <c r="D129" s="45">
        <f>+D127*2.6-2*4</f>
        <v>91.372</v>
      </c>
      <c r="E129" s="44"/>
      <c r="F129" s="44"/>
    </row>
    <row r="130" spans="1:8" ht="15.95" customHeight="1" x14ac:dyDescent="0.25">
      <c r="A130" s="41" t="s">
        <v>207</v>
      </c>
      <c r="B130" s="42" t="s">
        <v>130</v>
      </c>
      <c r="C130" s="40" t="s">
        <v>6</v>
      </c>
      <c r="D130" s="45">
        <f>+D128</f>
        <v>33.229999999999997</v>
      </c>
      <c r="E130" s="44"/>
      <c r="F130" s="44"/>
    </row>
    <row r="131" spans="1:8" ht="15.95" customHeight="1" x14ac:dyDescent="0.25">
      <c r="A131" s="41" t="s">
        <v>208</v>
      </c>
      <c r="B131" s="76" t="s">
        <v>632</v>
      </c>
      <c r="C131" s="77" t="s">
        <v>126</v>
      </c>
      <c r="D131" s="78">
        <f>18.34*2</f>
        <v>36.68</v>
      </c>
      <c r="E131" s="79"/>
      <c r="F131" s="44"/>
    </row>
    <row r="132" spans="1:8" ht="15.95" customHeight="1" x14ac:dyDescent="0.25">
      <c r="A132" s="41" t="s">
        <v>462</v>
      </c>
      <c r="B132" s="76" t="s">
        <v>633</v>
      </c>
      <c r="C132" s="77" t="s">
        <v>125</v>
      </c>
      <c r="D132" s="78">
        <v>1</v>
      </c>
      <c r="E132" s="79"/>
      <c r="F132" s="44"/>
    </row>
    <row r="133" spans="1:8" ht="15.95" customHeight="1" x14ac:dyDescent="0.25">
      <c r="A133" s="41" t="s">
        <v>463</v>
      </c>
      <c r="B133" s="76" t="s">
        <v>634</v>
      </c>
      <c r="C133" s="77" t="s">
        <v>125</v>
      </c>
      <c r="D133" s="78">
        <v>1</v>
      </c>
      <c r="E133" s="79"/>
      <c r="F133" s="44"/>
    </row>
    <row r="134" spans="1:8" ht="15.95" customHeight="1" thickBot="1" x14ac:dyDescent="0.3">
      <c r="A134" s="41" t="s">
        <v>701</v>
      </c>
      <c r="B134" s="42" t="s">
        <v>610</v>
      </c>
      <c r="C134" s="40" t="s">
        <v>125</v>
      </c>
      <c r="D134" s="45">
        <v>2</v>
      </c>
      <c r="E134" s="44"/>
      <c r="F134" s="44"/>
    </row>
    <row r="135" spans="1:8" ht="15.95" customHeight="1" thickBot="1" x14ac:dyDescent="0.3">
      <c r="A135" s="99" t="s">
        <v>144</v>
      </c>
      <c r="B135" s="54" t="s">
        <v>145</v>
      </c>
      <c r="C135" s="55"/>
      <c r="D135" s="63"/>
      <c r="E135" s="64"/>
      <c r="F135" s="64"/>
      <c r="H135" s="84">
        <f>SUM(F136:F154)</f>
        <v>0</v>
      </c>
    </row>
    <row r="136" spans="1:8" ht="15.95" customHeight="1" x14ac:dyDescent="0.25">
      <c r="A136" s="41" t="s">
        <v>211</v>
      </c>
      <c r="B136" s="42" t="s">
        <v>128</v>
      </c>
      <c r="C136" s="40" t="s">
        <v>126</v>
      </c>
      <c r="D136" s="45">
        <v>5.4</v>
      </c>
      <c r="E136" s="44"/>
      <c r="F136" s="44"/>
    </row>
    <row r="137" spans="1:8" ht="15.95" customHeight="1" x14ac:dyDescent="0.25">
      <c r="A137" s="41" t="s">
        <v>212</v>
      </c>
      <c r="B137" s="42" t="s">
        <v>606</v>
      </c>
      <c r="C137" s="40" t="s">
        <v>6</v>
      </c>
      <c r="D137" s="45">
        <v>1.82</v>
      </c>
      <c r="E137" s="44"/>
      <c r="F137" s="44"/>
    </row>
    <row r="138" spans="1:8" ht="15.95" customHeight="1" x14ac:dyDescent="0.25">
      <c r="A138" s="41" t="s">
        <v>213</v>
      </c>
      <c r="B138" s="42" t="s">
        <v>129</v>
      </c>
      <c r="C138" s="40" t="s">
        <v>6</v>
      </c>
      <c r="D138" s="45">
        <f>+D136*2.6-2</f>
        <v>12.040000000000001</v>
      </c>
      <c r="E138" s="44"/>
      <c r="F138" s="44"/>
    </row>
    <row r="139" spans="1:8" ht="15.95" customHeight="1" x14ac:dyDescent="0.25">
      <c r="A139" s="41" t="s">
        <v>214</v>
      </c>
      <c r="B139" s="42" t="s">
        <v>130</v>
      </c>
      <c r="C139" s="40" t="s">
        <v>6</v>
      </c>
      <c r="D139" s="45">
        <f>+D137</f>
        <v>1.82</v>
      </c>
      <c r="E139" s="44"/>
      <c r="F139" s="44"/>
    </row>
    <row r="140" spans="1:8" ht="15.95" customHeight="1" x14ac:dyDescent="0.25">
      <c r="A140" s="41" t="s">
        <v>215</v>
      </c>
      <c r="B140" s="42" t="s">
        <v>209</v>
      </c>
      <c r="C140" s="40" t="s">
        <v>125</v>
      </c>
      <c r="D140" s="45">
        <v>1</v>
      </c>
      <c r="E140" s="44"/>
      <c r="F140" s="44"/>
    </row>
    <row r="141" spans="1:8" ht="15.95" customHeight="1" x14ac:dyDescent="0.25">
      <c r="A141" s="41" t="s">
        <v>216</v>
      </c>
      <c r="B141" s="42" t="s">
        <v>237</v>
      </c>
      <c r="C141" s="40" t="s">
        <v>125</v>
      </c>
      <c r="D141" s="45">
        <v>1</v>
      </c>
      <c r="E141" s="44"/>
      <c r="F141" s="44"/>
    </row>
    <row r="142" spans="1:8" ht="15.95" customHeight="1" x14ac:dyDescent="0.25">
      <c r="A142" s="41" t="s">
        <v>217</v>
      </c>
      <c r="B142" s="42" t="s">
        <v>210</v>
      </c>
      <c r="C142" s="40" t="s">
        <v>125</v>
      </c>
      <c r="D142" s="45">
        <v>1</v>
      </c>
      <c r="E142" s="44"/>
      <c r="F142" s="44"/>
    </row>
    <row r="143" spans="1:8" ht="15.95" customHeight="1" x14ac:dyDescent="0.25">
      <c r="A143" s="41" t="s">
        <v>218</v>
      </c>
      <c r="B143" s="42" t="s">
        <v>601</v>
      </c>
      <c r="C143" s="40" t="s">
        <v>125</v>
      </c>
      <c r="D143" s="45">
        <v>1</v>
      </c>
      <c r="E143" s="44"/>
      <c r="F143" s="44"/>
    </row>
    <row r="144" spans="1:8" ht="15.95" customHeight="1" x14ac:dyDescent="0.25">
      <c r="A144" s="41" t="s">
        <v>219</v>
      </c>
      <c r="B144" s="42" t="s">
        <v>455</v>
      </c>
      <c r="C144" s="40" t="s">
        <v>125</v>
      </c>
      <c r="D144" s="45">
        <v>1</v>
      </c>
      <c r="E144" s="44"/>
      <c r="F144" s="44"/>
    </row>
    <row r="145" spans="1:8" ht="15.95" customHeight="1" x14ac:dyDescent="0.25">
      <c r="A145" s="41" t="s">
        <v>220</v>
      </c>
      <c r="B145" s="42" t="s">
        <v>281</v>
      </c>
      <c r="C145" s="40" t="s">
        <v>6</v>
      </c>
      <c r="D145" s="45">
        <f>0.4*0.6</f>
        <v>0.24</v>
      </c>
      <c r="E145" s="44"/>
      <c r="F145" s="44"/>
    </row>
    <row r="146" spans="1:8" ht="15.95" customHeight="1" x14ac:dyDescent="0.25">
      <c r="A146" s="41" t="s">
        <v>221</v>
      </c>
      <c r="B146" s="76" t="s">
        <v>632</v>
      </c>
      <c r="C146" s="77" t="s">
        <v>126</v>
      </c>
      <c r="D146" s="78">
        <f>5.7*2</f>
        <v>11.4</v>
      </c>
      <c r="E146" s="79"/>
      <c r="F146" s="44"/>
    </row>
    <row r="147" spans="1:8" ht="15.95" customHeight="1" x14ac:dyDescent="0.25">
      <c r="A147" s="41" t="s">
        <v>282</v>
      </c>
      <c r="B147" s="76" t="s">
        <v>634</v>
      </c>
      <c r="C147" s="77" t="s">
        <v>125</v>
      </c>
      <c r="D147" s="78">
        <v>1</v>
      </c>
      <c r="E147" s="79"/>
      <c r="F147" s="44"/>
    </row>
    <row r="148" spans="1:8" ht="15.95" customHeight="1" x14ac:dyDescent="0.25">
      <c r="A148" s="41" t="s">
        <v>283</v>
      </c>
      <c r="B148" s="42" t="s">
        <v>610</v>
      </c>
      <c r="C148" s="40" t="s">
        <v>125</v>
      </c>
      <c r="D148" s="45">
        <v>1</v>
      </c>
      <c r="E148" s="44"/>
      <c r="F148" s="44"/>
    </row>
    <row r="149" spans="1:8" ht="15.95" customHeight="1" x14ac:dyDescent="0.25">
      <c r="A149" s="41" t="s">
        <v>560</v>
      </c>
      <c r="B149" s="42" t="s">
        <v>117</v>
      </c>
      <c r="C149" s="40" t="s">
        <v>6</v>
      </c>
      <c r="D149" s="45">
        <f>1.17*0.47</f>
        <v>0.54989999999999994</v>
      </c>
      <c r="E149" s="44"/>
      <c r="F149" s="44"/>
    </row>
    <row r="150" spans="1:8" ht="15.95" customHeight="1" x14ac:dyDescent="0.25">
      <c r="A150" s="41" t="s">
        <v>561</v>
      </c>
      <c r="B150" s="42" t="s">
        <v>599</v>
      </c>
      <c r="C150" s="40" t="s">
        <v>6</v>
      </c>
      <c r="D150" s="45">
        <f>1.17*0.47</f>
        <v>0.54989999999999994</v>
      </c>
      <c r="E150" s="44"/>
      <c r="F150" s="44"/>
    </row>
    <row r="151" spans="1:8" ht="15.95" customHeight="1" x14ac:dyDescent="0.25">
      <c r="A151" s="41" t="s">
        <v>562</v>
      </c>
      <c r="B151" s="85" t="s">
        <v>551</v>
      </c>
      <c r="C151" s="40" t="s">
        <v>125</v>
      </c>
      <c r="D151" s="43">
        <v>1</v>
      </c>
      <c r="E151" s="44"/>
      <c r="F151" s="44"/>
    </row>
    <row r="152" spans="1:8" ht="15.95" customHeight="1" x14ac:dyDescent="0.25">
      <c r="A152" s="41" t="s">
        <v>563</v>
      </c>
      <c r="B152" s="85" t="s">
        <v>552</v>
      </c>
      <c r="C152" s="40" t="s">
        <v>125</v>
      </c>
      <c r="D152" s="43">
        <v>1</v>
      </c>
      <c r="E152" s="44"/>
      <c r="F152" s="44"/>
    </row>
    <row r="153" spans="1:8" ht="15.95" customHeight="1" x14ac:dyDescent="0.25">
      <c r="A153" s="41" t="s">
        <v>704</v>
      </c>
      <c r="B153" s="85" t="s">
        <v>608</v>
      </c>
      <c r="C153" s="40" t="s">
        <v>125</v>
      </c>
      <c r="D153" s="43">
        <v>1</v>
      </c>
      <c r="E153" s="44"/>
      <c r="F153" s="44"/>
    </row>
    <row r="154" spans="1:8" ht="15.95" customHeight="1" thickBot="1" x14ac:dyDescent="0.3">
      <c r="A154" s="41" t="s">
        <v>705</v>
      </c>
      <c r="B154" s="42" t="s">
        <v>554</v>
      </c>
      <c r="C154" s="40" t="s">
        <v>6</v>
      </c>
      <c r="D154" s="45">
        <v>2.25</v>
      </c>
      <c r="E154" s="44"/>
      <c r="F154" s="44"/>
    </row>
    <row r="155" spans="1:8" ht="15.95" customHeight="1" thickBot="1" x14ac:dyDescent="0.3">
      <c r="A155" s="99" t="s">
        <v>147</v>
      </c>
      <c r="B155" s="54" t="s">
        <v>146</v>
      </c>
      <c r="C155" s="55"/>
      <c r="D155" s="63"/>
      <c r="E155" s="64"/>
      <c r="F155" s="64"/>
      <c r="H155" s="84">
        <f>SUM(F156:F176)</f>
        <v>0</v>
      </c>
    </row>
    <row r="156" spans="1:8" ht="15.95" customHeight="1" x14ac:dyDescent="0.25">
      <c r="A156" s="41" t="s">
        <v>223</v>
      </c>
      <c r="B156" s="42" t="s">
        <v>128</v>
      </c>
      <c r="C156" s="40" t="s">
        <v>126</v>
      </c>
      <c r="D156" s="45">
        <f>7.3*2.6</f>
        <v>18.98</v>
      </c>
      <c r="E156" s="44"/>
      <c r="F156" s="44"/>
    </row>
    <row r="157" spans="1:8" ht="15.95" customHeight="1" x14ac:dyDescent="0.25">
      <c r="A157" s="41" t="s">
        <v>224</v>
      </c>
      <c r="B157" s="42" t="s">
        <v>606</v>
      </c>
      <c r="C157" s="40" t="s">
        <v>6</v>
      </c>
      <c r="D157" s="45">
        <v>3.2555000000000001</v>
      </c>
      <c r="E157" s="44"/>
      <c r="F157" s="44"/>
    </row>
    <row r="158" spans="1:8" ht="15.95" customHeight="1" x14ac:dyDescent="0.25">
      <c r="A158" s="41" t="s">
        <v>225</v>
      </c>
      <c r="B158" s="42" t="s">
        <v>129</v>
      </c>
      <c r="C158" s="40" t="s">
        <v>6</v>
      </c>
      <c r="D158" s="45">
        <f>+D156*2.6-2</f>
        <v>47.348000000000006</v>
      </c>
      <c r="E158" s="44"/>
      <c r="F158" s="44"/>
    </row>
    <row r="159" spans="1:8" ht="15.95" customHeight="1" x14ac:dyDescent="0.25">
      <c r="A159" s="41" t="s">
        <v>226</v>
      </c>
      <c r="B159" s="42" t="s">
        <v>130</v>
      </c>
      <c r="C159" s="40" t="s">
        <v>6</v>
      </c>
      <c r="D159" s="45">
        <f>+D157</f>
        <v>3.2555000000000001</v>
      </c>
      <c r="E159" s="44"/>
      <c r="F159" s="44"/>
    </row>
    <row r="160" spans="1:8" ht="15.95" customHeight="1" x14ac:dyDescent="0.25">
      <c r="A160" s="41" t="s">
        <v>227</v>
      </c>
      <c r="B160" s="42" t="s">
        <v>209</v>
      </c>
      <c r="C160" s="40" t="s">
        <v>125</v>
      </c>
      <c r="D160" s="45">
        <v>1</v>
      </c>
      <c r="E160" s="44"/>
      <c r="F160" s="44"/>
    </row>
    <row r="161" spans="1:6" ht="15.95" customHeight="1" x14ac:dyDescent="0.25">
      <c r="A161" s="41" t="s">
        <v>228</v>
      </c>
      <c r="B161" s="42" t="s">
        <v>237</v>
      </c>
      <c r="C161" s="40" t="s">
        <v>125</v>
      </c>
      <c r="D161" s="45">
        <v>1</v>
      </c>
      <c r="E161" s="44"/>
      <c r="F161" s="44"/>
    </row>
    <row r="162" spans="1:6" ht="15.95" customHeight="1" x14ac:dyDescent="0.25">
      <c r="A162" s="41" t="s">
        <v>229</v>
      </c>
      <c r="B162" s="42" t="s">
        <v>210</v>
      </c>
      <c r="C162" s="40" t="s">
        <v>125</v>
      </c>
      <c r="D162" s="45">
        <v>1</v>
      </c>
      <c r="E162" s="44"/>
      <c r="F162" s="44"/>
    </row>
    <row r="163" spans="1:6" ht="15.95" customHeight="1" x14ac:dyDescent="0.25">
      <c r="A163" s="41" t="s">
        <v>230</v>
      </c>
      <c r="B163" s="42" t="s">
        <v>601</v>
      </c>
      <c r="C163" s="40" t="s">
        <v>125</v>
      </c>
      <c r="D163" s="45">
        <v>1</v>
      </c>
      <c r="E163" s="44"/>
      <c r="F163" s="44"/>
    </row>
    <row r="164" spans="1:6" ht="15.95" customHeight="1" x14ac:dyDescent="0.25">
      <c r="A164" s="41" t="s">
        <v>231</v>
      </c>
      <c r="B164" s="42" t="s">
        <v>455</v>
      </c>
      <c r="C164" s="40" t="s">
        <v>125</v>
      </c>
      <c r="D164" s="45">
        <v>1</v>
      </c>
      <c r="E164" s="44"/>
      <c r="F164" s="44"/>
    </row>
    <row r="165" spans="1:6" ht="15.95" customHeight="1" x14ac:dyDescent="0.25">
      <c r="A165" s="41" t="s">
        <v>232</v>
      </c>
      <c r="B165" s="42" t="s">
        <v>281</v>
      </c>
      <c r="C165" s="40" t="s">
        <v>6</v>
      </c>
      <c r="D165" s="45">
        <f>0.4*0.6</f>
        <v>0.24</v>
      </c>
      <c r="E165" s="44"/>
      <c r="F165" s="44"/>
    </row>
    <row r="166" spans="1:6" ht="15.95" customHeight="1" x14ac:dyDescent="0.25">
      <c r="A166" s="41" t="s">
        <v>233</v>
      </c>
      <c r="B166" s="76" t="s">
        <v>632</v>
      </c>
      <c r="C166" s="77" t="s">
        <v>126</v>
      </c>
      <c r="D166" s="78">
        <f>7*2</f>
        <v>14</v>
      </c>
      <c r="E166" s="79"/>
      <c r="F166" s="44"/>
    </row>
    <row r="167" spans="1:6" ht="15.95" customHeight="1" x14ac:dyDescent="0.25">
      <c r="A167" s="41" t="s">
        <v>234</v>
      </c>
      <c r="B167" s="76" t="s">
        <v>634</v>
      </c>
      <c r="C167" s="77" t="s">
        <v>125</v>
      </c>
      <c r="D167" s="78">
        <v>1</v>
      </c>
      <c r="E167" s="79"/>
      <c r="F167" s="44"/>
    </row>
    <row r="168" spans="1:6" ht="15.95" customHeight="1" x14ac:dyDescent="0.25">
      <c r="A168" s="41" t="s">
        <v>235</v>
      </c>
      <c r="B168" s="42" t="s">
        <v>610</v>
      </c>
      <c r="C168" s="40" t="s">
        <v>125</v>
      </c>
      <c r="D168" s="45">
        <v>1</v>
      </c>
      <c r="E168" s="44"/>
      <c r="F168" s="44"/>
    </row>
    <row r="169" spans="1:6" ht="15.95" customHeight="1" x14ac:dyDescent="0.25">
      <c r="A169" s="41" t="s">
        <v>236</v>
      </c>
      <c r="B169" s="42" t="s">
        <v>222</v>
      </c>
      <c r="C169" s="40" t="s">
        <v>6</v>
      </c>
      <c r="D169" s="45">
        <f>1.84*2.6</f>
        <v>4.7840000000000007</v>
      </c>
      <c r="E169" s="44"/>
      <c r="F169" s="44"/>
    </row>
    <row r="170" spans="1:6" ht="15.95" customHeight="1" x14ac:dyDescent="0.25">
      <c r="A170" s="41" t="s">
        <v>284</v>
      </c>
      <c r="B170" s="42" t="s">
        <v>464</v>
      </c>
      <c r="C170" s="40" t="s">
        <v>6</v>
      </c>
      <c r="D170" s="45">
        <f>1.35*2.6</f>
        <v>3.5100000000000002</v>
      </c>
      <c r="E170" s="44"/>
      <c r="F170" s="44"/>
    </row>
    <row r="171" spans="1:6" ht="15.95" customHeight="1" x14ac:dyDescent="0.25">
      <c r="A171" s="41" t="s">
        <v>285</v>
      </c>
      <c r="B171" s="42" t="s">
        <v>117</v>
      </c>
      <c r="C171" s="40" t="s">
        <v>6</v>
      </c>
      <c r="D171" s="45">
        <f>1.17*0.47</f>
        <v>0.54989999999999994</v>
      </c>
      <c r="E171" s="44"/>
      <c r="F171" s="44"/>
    </row>
    <row r="172" spans="1:6" ht="15.95" customHeight="1" x14ac:dyDescent="0.25">
      <c r="A172" s="41" t="s">
        <v>564</v>
      </c>
      <c r="B172" s="42" t="s">
        <v>599</v>
      </c>
      <c r="C172" s="40" t="s">
        <v>6</v>
      </c>
      <c r="D172" s="45">
        <f>1.17*0.47</f>
        <v>0.54989999999999994</v>
      </c>
      <c r="E172" s="44"/>
      <c r="F172" s="44"/>
    </row>
    <row r="173" spans="1:6" ht="15.95" customHeight="1" x14ac:dyDescent="0.25">
      <c r="A173" s="41" t="s">
        <v>565</v>
      </c>
      <c r="B173" s="85" t="s">
        <v>551</v>
      </c>
      <c r="C173" s="40" t="s">
        <v>125</v>
      </c>
      <c r="D173" s="43">
        <v>1</v>
      </c>
      <c r="E173" s="44"/>
      <c r="F173" s="44"/>
    </row>
    <row r="174" spans="1:6" ht="15.95" customHeight="1" x14ac:dyDescent="0.25">
      <c r="A174" s="41" t="s">
        <v>566</v>
      </c>
      <c r="B174" s="85" t="s">
        <v>552</v>
      </c>
      <c r="C174" s="40" t="s">
        <v>125</v>
      </c>
      <c r="D174" s="43">
        <v>1</v>
      </c>
      <c r="E174" s="44"/>
      <c r="F174" s="44"/>
    </row>
    <row r="175" spans="1:6" ht="15.95" customHeight="1" x14ac:dyDescent="0.25">
      <c r="A175" s="41" t="s">
        <v>706</v>
      </c>
      <c r="B175" s="85" t="s">
        <v>608</v>
      </c>
      <c r="C175" s="40" t="s">
        <v>125</v>
      </c>
      <c r="D175" s="43">
        <v>1</v>
      </c>
      <c r="E175" s="44"/>
      <c r="F175" s="44"/>
    </row>
    <row r="176" spans="1:6" ht="15.95" customHeight="1" thickBot="1" x14ac:dyDescent="0.3">
      <c r="A176" s="41" t="s">
        <v>707</v>
      </c>
      <c r="B176" s="42" t="s">
        <v>554</v>
      </c>
      <c r="C176" s="40" t="s">
        <v>6</v>
      </c>
      <c r="D176" s="45">
        <v>2.25</v>
      </c>
      <c r="E176" s="44"/>
      <c r="F176" s="44"/>
    </row>
    <row r="177" spans="1:8" ht="15.95" customHeight="1" thickBot="1" x14ac:dyDescent="0.3">
      <c r="A177" s="99" t="s">
        <v>148</v>
      </c>
      <c r="B177" s="54" t="s">
        <v>149</v>
      </c>
      <c r="C177" s="55"/>
      <c r="D177" s="63"/>
      <c r="E177" s="57"/>
      <c r="F177" s="57"/>
      <c r="H177" s="84">
        <f>SUM(F178:F198)</f>
        <v>0</v>
      </c>
    </row>
    <row r="178" spans="1:8" ht="15.95" customHeight="1" x14ac:dyDescent="0.25">
      <c r="A178" s="41" t="s">
        <v>238</v>
      </c>
      <c r="B178" s="42" t="s">
        <v>128</v>
      </c>
      <c r="C178" s="40" t="s">
        <v>126</v>
      </c>
      <c r="D178" s="45">
        <v>6.3</v>
      </c>
      <c r="E178" s="44"/>
      <c r="F178" s="44"/>
    </row>
    <row r="179" spans="1:8" ht="15.95" customHeight="1" x14ac:dyDescent="0.25">
      <c r="A179" s="41" t="s">
        <v>239</v>
      </c>
      <c r="B179" s="42" t="s">
        <v>606</v>
      </c>
      <c r="C179" s="40" t="s">
        <v>6</v>
      </c>
      <c r="D179" s="45">
        <v>2.4500000000000002</v>
      </c>
      <c r="E179" s="44"/>
      <c r="F179" s="44"/>
    </row>
    <row r="180" spans="1:8" ht="15.95" customHeight="1" x14ac:dyDescent="0.25">
      <c r="A180" s="41" t="s">
        <v>240</v>
      </c>
      <c r="B180" s="42" t="s">
        <v>129</v>
      </c>
      <c r="C180" s="40" t="s">
        <v>6</v>
      </c>
      <c r="D180" s="45">
        <f>+D178*2.6-2</f>
        <v>14.379999999999999</v>
      </c>
      <c r="E180" s="44"/>
      <c r="F180" s="44"/>
    </row>
    <row r="181" spans="1:8" ht="15.95" customHeight="1" x14ac:dyDescent="0.25">
      <c r="A181" s="41" t="s">
        <v>241</v>
      </c>
      <c r="B181" s="42" t="s">
        <v>130</v>
      </c>
      <c r="C181" s="40" t="s">
        <v>6</v>
      </c>
      <c r="D181" s="45">
        <f>+D179</f>
        <v>2.4500000000000002</v>
      </c>
      <c r="E181" s="44"/>
      <c r="F181" s="44"/>
    </row>
    <row r="182" spans="1:8" ht="15.95" customHeight="1" x14ac:dyDescent="0.25">
      <c r="A182" s="41" t="s">
        <v>242</v>
      </c>
      <c r="B182" s="42" t="s">
        <v>209</v>
      </c>
      <c r="C182" s="40" t="s">
        <v>125</v>
      </c>
      <c r="D182" s="45">
        <v>1</v>
      </c>
      <c r="E182" s="44"/>
      <c r="F182" s="44"/>
    </row>
    <row r="183" spans="1:8" ht="15.95" customHeight="1" x14ac:dyDescent="0.25">
      <c r="A183" s="41" t="s">
        <v>243</v>
      </c>
      <c r="B183" s="42" t="s">
        <v>237</v>
      </c>
      <c r="C183" s="40" t="s">
        <v>125</v>
      </c>
      <c r="D183" s="45">
        <v>1</v>
      </c>
      <c r="E183" s="44"/>
      <c r="F183" s="44"/>
    </row>
    <row r="184" spans="1:8" ht="15.95" customHeight="1" x14ac:dyDescent="0.25">
      <c r="A184" s="41" t="s">
        <v>244</v>
      </c>
      <c r="B184" s="42" t="s">
        <v>210</v>
      </c>
      <c r="C184" s="40" t="s">
        <v>125</v>
      </c>
      <c r="D184" s="45">
        <v>1</v>
      </c>
      <c r="E184" s="44"/>
      <c r="F184" s="44"/>
    </row>
    <row r="185" spans="1:8" ht="15.95" customHeight="1" x14ac:dyDescent="0.25">
      <c r="A185" s="41" t="s">
        <v>245</v>
      </c>
      <c r="B185" s="42" t="s">
        <v>601</v>
      </c>
      <c r="C185" s="40" t="s">
        <v>125</v>
      </c>
      <c r="D185" s="45">
        <v>1</v>
      </c>
      <c r="E185" s="44"/>
      <c r="F185" s="44"/>
    </row>
    <row r="186" spans="1:8" ht="15.95" customHeight="1" x14ac:dyDescent="0.25">
      <c r="A186" s="41" t="s">
        <v>246</v>
      </c>
      <c r="B186" s="42" t="s">
        <v>455</v>
      </c>
      <c r="C186" s="40" t="s">
        <v>125</v>
      </c>
      <c r="D186" s="45">
        <v>1</v>
      </c>
      <c r="E186" s="44"/>
      <c r="F186" s="44"/>
    </row>
    <row r="187" spans="1:8" ht="15.95" customHeight="1" x14ac:dyDescent="0.25">
      <c r="A187" s="41" t="s">
        <v>247</v>
      </c>
      <c r="B187" s="42" t="s">
        <v>281</v>
      </c>
      <c r="C187" s="40" t="s">
        <v>6</v>
      </c>
      <c r="D187" s="45">
        <f>0.4*0.6</f>
        <v>0.24</v>
      </c>
      <c r="E187" s="44"/>
      <c r="F187" s="44"/>
    </row>
    <row r="188" spans="1:8" ht="15.95" customHeight="1" x14ac:dyDescent="0.25">
      <c r="A188" s="41" t="s">
        <v>248</v>
      </c>
      <c r="B188" s="76" t="s">
        <v>632</v>
      </c>
      <c r="C188" s="77" t="s">
        <v>126</v>
      </c>
      <c r="D188" s="78">
        <f>7*2</f>
        <v>14</v>
      </c>
      <c r="E188" s="79"/>
      <c r="F188" s="44"/>
    </row>
    <row r="189" spans="1:8" ht="15.95" customHeight="1" x14ac:dyDescent="0.25">
      <c r="A189" s="41" t="s">
        <v>249</v>
      </c>
      <c r="B189" s="76" t="s">
        <v>634</v>
      </c>
      <c r="C189" s="77" t="s">
        <v>125</v>
      </c>
      <c r="D189" s="78">
        <v>1</v>
      </c>
      <c r="E189" s="79"/>
      <c r="F189" s="44"/>
    </row>
    <row r="190" spans="1:8" ht="15.95" customHeight="1" x14ac:dyDescent="0.25">
      <c r="A190" s="41" t="s">
        <v>719</v>
      </c>
      <c r="B190" s="42" t="s">
        <v>610</v>
      </c>
      <c r="C190" s="40" t="s">
        <v>125</v>
      </c>
      <c r="D190" s="45">
        <v>1</v>
      </c>
      <c r="E190" s="44"/>
      <c r="F190" s="44"/>
    </row>
    <row r="191" spans="1:8" ht="15.95" customHeight="1" x14ac:dyDescent="0.25">
      <c r="A191" s="41" t="s">
        <v>286</v>
      </c>
      <c r="B191" s="42" t="s">
        <v>470</v>
      </c>
      <c r="C191" s="40" t="s">
        <v>125</v>
      </c>
      <c r="D191" s="45">
        <v>1</v>
      </c>
      <c r="E191" s="44"/>
      <c r="F191" s="44"/>
    </row>
    <row r="192" spans="1:8" ht="15.95" customHeight="1" x14ac:dyDescent="0.25">
      <c r="A192" s="41" t="s">
        <v>287</v>
      </c>
      <c r="B192" s="42" t="s">
        <v>471</v>
      </c>
      <c r="C192" s="40" t="s">
        <v>125</v>
      </c>
      <c r="D192" s="45">
        <v>1</v>
      </c>
      <c r="E192" s="44"/>
      <c r="F192" s="44"/>
    </row>
    <row r="193" spans="1:8" ht="15.95" customHeight="1" x14ac:dyDescent="0.25">
      <c r="A193" s="41" t="s">
        <v>567</v>
      </c>
      <c r="B193" s="42" t="s">
        <v>117</v>
      </c>
      <c r="C193" s="40" t="s">
        <v>6</v>
      </c>
      <c r="D193" s="45">
        <f>1.17*0.47</f>
        <v>0.54989999999999994</v>
      </c>
      <c r="E193" s="44"/>
      <c r="F193" s="44"/>
    </row>
    <row r="194" spans="1:8" ht="15.95" customHeight="1" x14ac:dyDescent="0.25">
      <c r="A194" s="41" t="s">
        <v>568</v>
      </c>
      <c r="B194" s="42" t="s">
        <v>599</v>
      </c>
      <c r="C194" s="40" t="s">
        <v>6</v>
      </c>
      <c r="D194" s="45">
        <f>1.17*0.47</f>
        <v>0.54989999999999994</v>
      </c>
      <c r="E194" s="44"/>
      <c r="F194" s="44"/>
    </row>
    <row r="195" spans="1:8" ht="15.95" customHeight="1" x14ac:dyDescent="0.25">
      <c r="A195" s="41" t="s">
        <v>569</v>
      </c>
      <c r="B195" s="85" t="s">
        <v>551</v>
      </c>
      <c r="C195" s="40" t="s">
        <v>125</v>
      </c>
      <c r="D195" s="43">
        <v>1</v>
      </c>
      <c r="E195" s="44"/>
      <c r="F195" s="44"/>
    </row>
    <row r="196" spans="1:8" ht="15.95" customHeight="1" x14ac:dyDescent="0.25">
      <c r="A196" s="41" t="s">
        <v>570</v>
      </c>
      <c r="B196" s="85" t="s">
        <v>552</v>
      </c>
      <c r="C196" s="40" t="s">
        <v>125</v>
      </c>
      <c r="D196" s="43">
        <v>1</v>
      </c>
      <c r="E196" s="44"/>
      <c r="F196" s="44"/>
    </row>
    <row r="197" spans="1:8" ht="15.95" customHeight="1" x14ac:dyDescent="0.25">
      <c r="A197" s="41" t="s">
        <v>708</v>
      </c>
      <c r="B197" s="85" t="s">
        <v>608</v>
      </c>
      <c r="C197" s="40" t="s">
        <v>125</v>
      </c>
      <c r="D197" s="43">
        <v>1</v>
      </c>
      <c r="E197" s="44"/>
      <c r="F197" s="44"/>
    </row>
    <row r="198" spans="1:8" ht="15.95" customHeight="1" thickBot="1" x14ac:dyDescent="0.3">
      <c r="A198" s="41" t="s">
        <v>709</v>
      </c>
      <c r="B198" s="42" t="s">
        <v>554</v>
      </c>
      <c r="C198" s="40" t="s">
        <v>6</v>
      </c>
      <c r="D198" s="45">
        <v>2.25</v>
      </c>
      <c r="E198" s="44"/>
      <c r="F198" s="44"/>
    </row>
    <row r="199" spans="1:8" ht="15.95" customHeight="1" thickBot="1" x14ac:dyDescent="0.3">
      <c r="A199" s="99" t="s">
        <v>151</v>
      </c>
      <c r="B199" s="54" t="s">
        <v>150</v>
      </c>
      <c r="C199" s="55"/>
      <c r="D199" s="63"/>
      <c r="E199" s="57"/>
      <c r="F199" s="57"/>
      <c r="H199" s="84">
        <f>SUM(F200:F218)</f>
        <v>0</v>
      </c>
    </row>
    <row r="200" spans="1:8" ht="15.95" customHeight="1" x14ac:dyDescent="0.25">
      <c r="A200" s="41" t="s">
        <v>250</v>
      </c>
      <c r="B200" s="42" t="s">
        <v>128</v>
      </c>
      <c r="C200" s="40" t="s">
        <v>126</v>
      </c>
      <c r="D200" s="45">
        <v>5.78</v>
      </c>
      <c r="E200" s="44"/>
      <c r="F200" s="44"/>
    </row>
    <row r="201" spans="1:8" ht="15.95" customHeight="1" x14ac:dyDescent="0.25">
      <c r="A201" s="41" t="s">
        <v>251</v>
      </c>
      <c r="B201" s="42" t="s">
        <v>606</v>
      </c>
      <c r="C201" s="40" t="s">
        <v>6</v>
      </c>
      <c r="D201" s="45">
        <v>2.1</v>
      </c>
      <c r="E201" s="44"/>
      <c r="F201" s="44"/>
    </row>
    <row r="202" spans="1:8" ht="15.95" customHeight="1" x14ac:dyDescent="0.25">
      <c r="A202" s="41" t="s">
        <v>252</v>
      </c>
      <c r="B202" s="42" t="s">
        <v>129</v>
      </c>
      <c r="C202" s="40" t="s">
        <v>6</v>
      </c>
      <c r="D202" s="45">
        <f>+D200*2.6-2</f>
        <v>13.028</v>
      </c>
      <c r="E202" s="44"/>
      <c r="F202" s="44"/>
    </row>
    <row r="203" spans="1:8" ht="15.95" customHeight="1" x14ac:dyDescent="0.25">
      <c r="A203" s="41" t="s">
        <v>253</v>
      </c>
      <c r="B203" s="42" t="s">
        <v>130</v>
      </c>
      <c r="C203" s="40" t="s">
        <v>6</v>
      </c>
      <c r="D203" s="45">
        <f>+D201</f>
        <v>2.1</v>
      </c>
      <c r="E203" s="44"/>
      <c r="F203" s="44"/>
    </row>
    <row r="204" spans="1:8" ht="15.95" customHeight="1" x14ac:dyDescent="0.25">
      <c r="A204" s="41" t="s">
        <v>254</v>
      </c>
      <c r="B204" s="42" t="s">
        <v>209</v>
      </c>
      <c r="C204" s="40" t="s">
        <v>125</v>
      </c>
      <c r="D204" s="45">
        <v>1</v>
      </c>
      <c r="E204" s="44"/>
      <c r="F204" s="44"/>
    </row>
    <row r="205" spans="1:8" ht="15.95" customHeight="1" x14ac:dyDescent="0.25">
      <c r="A205" s="41" t="s">
        <v>255</v>
      </c>
      <c r="B205" s="42" t="s">
        <v>237</v>
      </c>
      <c r="C205" s="40" t="s">
        <v>125</v>
      </c>
      <c r="D205" s="45">
        <v>1</v>
      </c>
      <c r="E205" s="44"/>
      <c r="F205" s="44"/>
    </row>
    <row r="206" spans="1:8" ht="15.95" customHeight="1" x14ac:dyDescent="0.25">
      <c r="A206" s="41" t="s">
        <v>256</v>
      </c>
      <c r="B206" s="42" t="s">
        <v>210</v>
      </c>
      <c r="C206" s="40" t="s">
        <v>125</v>
      </c>
      <c r="D206" s="45">
        <v>1</v>
      </c>
      <c r="E206" s="44"/>
      <c r="F206" s="44"/>
    </row>
    <row r="207" spans="1:8" ht="15.95" customHeight="1" x14ac:dyDescent="0.25">
      <c r="A207" s="41" t="s">
        <v>257</v>
      </c>
      <c r="B207" s="42" t="s">
        <v>601</v>
      </c>
      <c r="C207" s="40" t="s">
        <v>125</v>
      </c>
      <c r="D207" s="45">
        <v>1</v>
      </c>
      <c r="E207" s="44"/>
      <c r="F207" s="44"/>
    </row>
    <row r="208" spans="1:8" ht="15.95" customHeight="1" x14ac:dyDescent="0.25">
      <c r="A208" s="41" t="s">
        <v>258</v>
      </c>
      <c r="B208" s="42" t="s">
        <v>455</v>
      </c>
      <c r="C208" s="40" t="s">
        <v>125</v>
      </c>
      <c r="D208" s="45">
        <v>1</v>
      </c>
      <c r="E208" s="44"/>
      <c r="F208" s="44"/>
    </row>
    <row r="209" spans="1:8" ht="15.95" customHeight="1" x14ac:dyDescent="0.25">
      <c r="A209" s="41" t="s">
        <v>259</v>
      </c>
      <c r="B209" s="42" t="s">
        <v>281</v>
      </c>
      <c r="C209" s="40" t="s">
        <v>6</v>
      </c>
      <c r="D209" s="45">
        <f>0.4*0.6</f>
        <v>0.24</v>
      </c>
      <c r="E209" s="44"/>
      <c r="F209" s="44"/>
    </row>
    <row r="210" spans="1:8" ht="15.95" customHeight="1" x14ac:dyDescent="0.25">
      <c r="A210" s="41" t="s">
        <v>260</v>
      </c>
      <c r="B210" s="76" t="s">
        <v>632</v>
      </c>
      <c r="C210" s="77" t="s">
        <v>126</v>
      </c>
      <c r="D210" s="78">
        <f>8.8*2</f>
        <v>17.600000000000001</v>
      </c>
      <c r="E210" s="79"/>
      <c r="F210" s="44"/>
    </row>
    <row r="211" spans="1:8" ht="15.95" customHeight="1" x14ac:dyDescent="0.25">
      <c r="A211" s="41" t="s">
        <v>288</v>
      </c>
      <c r="B211" s="76" t="s">
        <v>634</v>
      </c>
      <c r="C211" s="77" t="s">
        <v>125</v>
      </c>
      <c r="D211" s="78">
        <v>1</v>
      </c>
      <c r="E211" s="79"/>
      <c r="F211" s="44"/>
    </row>
    <row r="212" spans="1:8" ht="15.95" customHeight="1" x14ac:dyDescent="0.25">
      <c r="A212" s="41" t="s">
        <v>289</v>
      </c>
      <c r="B212" s="42" t="s">
        <v>610</v>
      </c>
      <c r="C212" s="40" t="s">
        <v>125</v>
      </c>
      <c r="D212" s="45">
        <v>1</v>
      </c>
      <c r="E212" s="44"/>
      <c r="F212" s="44"/>
    </row>
    <row r="213" spans="1:8" ht="15.95" customHeight="1" x14ac:dyDescent="0.25">
      <c r="A213" s="41" t="s">
        <v>571</v>
      </c>
      <c r="B213" s="42" t="s">
        <v>117</v>
      </c>
      <c r="C213" s="40" t="s">
        <v>6</v>
      </c>
      <c r="D213" s="45">
        <f>1.17*0.47</f>
        <v>0.54989999999999994</v>
      </c>
      <c r="E213" s="44"/>
      <c r="F213" s="44"/>
    </row>
    <row r="214" spans="1:8" ht="15.95" customHeight="1" x14ac:dyDescent="0.25">
      <c r="A214" s="41" t="s">
        <v>572</v>
      </c>
      <c r="B214" s="42" t="s">
        <v>599</v>
      </c>
      <c r="C214" s="40" t="s">
        <v>6</v>
      </c>
      <c r="D214" s="45">
        <f>1.17*0.47</f>
        <v>0.54989999999999994</v>
      </c>
      <c r="E214" s="44"/>
      <c r="F214" s="44"/>
    </row>
    <row r="215" spans="1:8" ht="15.95" customHeight="1" x14ac:dyDescent="0.25">
      <c r="A215" s="41" t="s">
        <v>573</v>
      </c>
      <c r="B215" s="85" t="s">
        <v>551</v>
      </c>
      <c r="C215" s="40" t="s">
        <v>125</v>
      </c>
      <c r="D215" s="43">
        <v>1</v>
      </c>
      <c r="E215" s="44"/>
      <c r="F215" s="44"/>
    </row>
    <row r="216" spans="1:8" ht="15.95" customHeight="1" x14ac:dyDescent="0.25">
      <c r="A216" s="41" t="s">
        <v>574</v>
      </c>
      <c r="B216" s="85" t="s">
        <v>552</v>
      </c>
      <c r="C216" s="40" t="s">
        <v>125</v>
      </c>
      <c r="D216" s="43">
        <v>1</v>
      </c>
      <c r="E216" s="44"/>
      <c r="F216" s="44"/>
    </row>
    <row r="217" spans="1:8" ht="15.95" customHeight="1" x14ac:dyDescent="0.25">
      <c r="A217" s="41" t="s">
        <v>710</v>
      </c>
      <c r="B217" s="85" t="s">
        <v>608</v>
      </c>
      <c r="C217" s="40" t="s">
        <v>125</v>
      </c>
      <c r="D217" s="43">
        <v>1</v>
      </c>
      <c r="E217" s="44"/>
      <c r="F217" s="44"/>
    </row>
    <row r="218" spans="1:8" ht="15.95" customHeight="1" thickBot="1" x14ac:dyDescent="0.3">
      <c r="A218" s="41" t="s">
        <v>711</v>
      </c>
      <c r="B218" s="42" t="s">
        <v>554</v>
      </c>
      <c r="C218" s="40" t="s">
        <v>6</v>
      </c>
      <c r="D218" s="45">
        <v>2.25</v>
      </c>
      <c r="E218" s="44"/>
      <c r="F218" s="44"/>
    </row>
    <row r="219" spans="1:8" ht="15.95" customHeight="1" thickBot="1" x14ac:dyDescent="0.3">
      <c r="A219" s="99" t="s">
        <v>152</v>
      </c>
      <c r="B219" s="54" t="s">
        <v>261</v>
      </c>
      <c r="C219" s="55"/>
      <c r="D219" s="63"/>
      <c r="E219" s="64"/>
      <c r="F219" s="64"/>
      <c r="H219" s="84">
        <f>SUM(F220:F238)</f>
        <v>0</v>
      </c>
    </row>
    <row r="220" spans="1:8" ht="15.95" customHeight="1" x14ac:dyDescent="0.25">
      <c r="A220" s="41" t="s">
        <v>262</v>
      </c>
      <c r="B220" s="42" t="s">
        <v>128</v>
      </c>
      <c r="C220" s="40" t="s">
        <v>126</v>
      </c>
      <c r="D220" s="45">
        <v>5.78</v>
      </c>
      <c r="E220" s="44"/>
      <c r="F220" s="44"/>
    </row>
    <row r="221" spans="1:8" ht="15.95" customHeight="1" x14ac:dyDescent="0.25">
      <c r="A221" s="41" t="s">
        <v>263</v>
      </c>
      <c r="B221" s="42" t="s">
        <v>606</v>
      </c>
      <c r="C221" s="40" t="s">
        <v>6</v>
      </c>
      <c r="D221" s="45">
        <v>2.1</v>
      </c>
      <c r="E221" s="44"/>
      <c r="F221" s="44"/>
    </row>
    <row r="222" spans="1:8" ht="15.95" customHeight="1" x14ac:dyDescent="0.25">
      <c r="A222" s="41" t="s">
        <v>264</v>
      </c>
      <c r="B222" s="42" t="s">
        <v>129</v>
      </c>
      <c r="C222" s="40" t="s">
        <v>6</v>
      </c>
      <c r="D222" s="45">
        <f>+D220*2.6-2</f>
        <v>13.028</v>
      </c>
      <c r="E222" s="44"/>
      <c r="F222" s="44"/>
    </row>
    <row r="223" spans="1:8" ht="15.95" customHeight="1" x14ac:dyDescent="0.25">
      <c r="A223" s="41" t="s">
        <v>265</v>
      </c>
      <c r="B223" s="42" t="s">
        <v>130</v>
      </c>
      <c r="C223" s="40" t="s">
        <v>6</v>
      </c>
      <c r="D223" s="45">
        <f>+D221</f>
        <v>2.1</v>
      </c>
      <c r="E223" s="44"/>
      <c r="F223" s="44"/>
    </row>
    <row r="224" spans="1:8" ht="15.95" customHeight="1" x14ac:dyDescent="0.25">
      <c r="A224" s="41" t="s">
        <v>266</v>
      </c>
      <c r="B224" s="42" t="s">
        <v>209</v>
      </c>
      <c r="C224" s="40" t="s">
        <v>125</v>
      </c>
      <c r="D224" s="45">
        <v>1</v>
      </c>
      <c r="E224" s="44"/>
      <c r="F224" s="44"/>
    </row>
    <row r="225" spans="1:8" ht="15.95" customHeight="1" x14ac:dyDescent="0.25">
      <c r="A225" s="41" t="s">
        <v>267</v>
      </c>
      <c r="B225" s="42" t="s">
        <v>237</v>
      </c>
      <c r="C225" s="40" t="s">
        <v>125</v>
      </c>
      <c r="D225" s="45">
        <v>1</v>
      </c>
      <c r="E225" s="44"/>
      <c r="F225" s="44"/>
    </row>
    <row r="226" spans="1:8" ht="15.95" customHeight="1" x14ac:dyDescent="0.25">
      <c r="A226" s="41" t="s">
        <v>268</v>
      </c>
      <c r="B226" s="42" t="s">
        <v>210</v>
      </c>
      <c r="C226" s="40" t="s">
        <v>125</v>
      </c>
      <c r="D226" s="45">
        <v>1</v>
      </c>
      <c r="E226" s="44"/>
      <c r="F226" s="44"/>
    </row>
    <row r="227" spans="1:8" ht="15.95" customHeight="1" x14ac:dyDescent="0.25">
      <c r="A227" s="41" t="s">
        <v>269</v>
      </c>
      <c r="B227" s="42" t="s">
        <v>601</v>
      </c>
      <c r="C227" s="40" t="s">
        <v>125</v>
      </c>
      <c r="D227" s="45">
        <v>1</v>
      </c>
      <c r="E227" s="44"/>
      <c r="F227" s="44"/>
    </row>
    <row r="228" spans="1:8" ht="15.95" customHeight="1" x14ac:dyDescent="0.25">
      <c r="A228" s="41" t="s">
        <v>270</v>
      </c>
      <c r="B228" s="42" t="s">
        <v>455</v>
      </c>
      <c r="C228" s="40" t="s">
        <v>125</v>
      </c>
      <c r="D228" s="45">
        <v>1</v>
      </c>
      <c r="E228" s="44"/>
      <c r="F228" s="44"/>
    </row>
    <row r="229" spans="1:8" ht="15.95" customHeight="1" x14ac:dyDescent="0.25">
      <c r="A229" s="41" t="s">
        <v>271</v>
      </c>
      <c r="B229" s="42" t="s">
        <v>281</v>
      </c>
      <c r="C229" s="40" t="s">
        <v>6</v>
      </c>
      <c r="D229" s="45">
        <f>0.4*0.6</f>
        <v>0.24</v>
      </c>
      <c r="E229" s="44"/>
      <c r="F229" s="44"/>
    </row>
    <row r="230" spans="1:8" ht="15.95" customHeight="1" x14ac:dyDescent="0.25">
      <c r="A230" s="41" t="s">
        <v>272</v>
      </c>
      <c r="B230" s="76" t="s">
        <v>632</v>
      </c>
      <c r="C230" s="77" t="s">
        <v>126</v>
      </c>
      <c r="D230" s="78">
        <f>8.8*2</f>
        <v>17.600000000000001</v>
      </c>
      <c r="E230" s="79"/>
      <c r="F230" s="44"/>
    </row>
    <row r="231" spans="1:8" ht="15.95" customHeight="1" x14ac:dyDescent="0.25">
      <c r="A231" s="41" t="s">
        <v>290</v>
      </c>
      <c r="B231" s="76" t="s">
        <v>634</v>
      </c>
      <c r="C231" s="77" t="s">
        <v>125</v>
      </c>
      <c r="D231" s="78">
        <v>1</v>
      </c>
      <c r="E231" s="79"/>
      <c r="F231" s="44"/>
    </row>
    <row r="232" spans="1:8" ht="15.95" customHeight="1" x14ac:dyDescent="0.25">
      <c r="A232" s="41" t="s">
        <v>291</v>
      </c>
      <c r="B232" s="42" t="s">
        <v>610</v>
      </c>
      <c r="C232" s="40" t="s">
        <v>125</v>
      </c>
      <c r="D232" s="45">
        <v>1</v>
      </c>
      <c r="E232" s="44"/>
      <c r="F232" s="44"/>
    </row>
    <row r="233" spans="1:8" ht="15.95" customHeight="1" x14ac:dyDescent="0.25">
      <c r="A233" s="41" t="s">
        <v>575</v>
      </c>
      <c r="B233" s="42" t="s">
        <v>117</v>
      </c>
      <c r="C233" s="40" t="s">
        <v>6</v>
      </c>
      <c r="D233" s="45">
        <f>1.17*0.47</f>
        <v>0.54989999999999994</v>
      </c>
      <c r="E233" s="44"/>
      <c r="F233" s="44"/>
    </row>
    <row r="234" spans="1:8" ht="15.95" customHeight="1" x14ac:dyDescent="0.25">
      <c r="A234" s="41" t="s">
        <v>576</v>
      </c>
      <c r="B234" s="42" t="s">
        <v>599</v>
      </c>
      <c r="C234" s="40" t="s">
        <v>6</v>
      </c>
      <c r="D234" s="45">
        <f>1.17*0.47</f>
        <v>0.54989999999999994</v>
      </c>
      <c r="E234" s="44"/>
      <c r="F234" s="44"/>
    </row>
    <row r="235" spans="1:8" ht="15.95" customHeight="1" x14ac:dyDescent="0.25">
      <c r="A235" s="41" t="s">
        <v>577</v>
      </c>
      <c r="B235" s="85" t="s">
        <v>551</v>
      </c>
      <c r="C235" s="40" t="s">
        <v>125</v>
      </c>
      <c r="D235" s="43">
        <v>1</v>
      </c>
      <c r="E235" s="44"/>
      <c r="F235" s="44"/>
    </row>
    <row r="236" spans="1:8" ht="15.95" customHeight="1" x14ac:dyDescent="0.25">
      <c r="A236" s="41" t="s">
        <v>578</v>
      </c>
      <c r="B236" s="85" t="s">
        <v>552</v>
      </c>
      <c r="C236" s="40" t="s">
        <v>125</v>
      </c>
      <c r="D236" s="43">
        <v>1</v>
      </c>
      <c r="E236" s="44"/>
      <c r="F236" s="44"/>
    </row>
    <row r="237" spans="1:8" ht="15.95" customHeight="1" x14ac:dyDescent="0.25">
      <c r="A237" s="41" t="s">
        <v>712</v>
      </c>
      <c r="B237" s="85" t="s">
        <v>608</v>
      </c>
      <c r="C237" s="40" t="s">
        <v>125</v>
      </c>
      <c r="D237" s="43">
        <v>1</v>
      </c>
      <c r="E237" s="44"/>
      <c r="F237" s="44"/>
    </row>
    <row r="238" spans="1:8" ht="15.95" customHeight="1" thickBot="1" x14ac:dyDescent="0.3">
      <c r="A238" s="41" t="s">
        <v>713</v>
      </c>
      <c r="B238" s="42" t="s">
        <v>554</v>
      </c>
      <c r="C238" s="40" t="s">
        <v>6</v>
      </c>
      <c r="D238" s="45">
        <v>2.25</v>
      </c>
      <c r="E238" s="44"/>
      <c r="F238" s="44"/>
    </row>
    <row r="239" spans="1:8" ht="15.95" customHeight="1" thickBot="1" x14ac:dyDescent="0.3">
      <c r="A239" s="99" t="s">
        <v>154</v>
      </c>
      <c r="B239" s="54" t="s">
        <v>153</v>
      </c>
      <c r="C239" s="55"/>
      <c r="D239" s="63"/>
      <c r="E239" s="57"/>
      <c r="F239" s="57"/>
      <c r="H239" s="84">
        <f>SUM(F240:F253)</f>
        <v>0</v>
      </c>
    </row>
    <row r="240" spans="1:8" ht="15.95" customHeight="1" x14ac:dyDescent="0.25">
      <c r="A240" s="41" t="s">
        <v>273</v>
      </c>
      <c r="B240" s="42" t="s">
        <v>128</v>
      </c>
      <c r="C240" s="40" t="s">
        <v>126</v>
      </c>
      <c r="D240" s="45">
        <v>38.22</v>
      </c>
      <c r="E240" s="44"/>
      <c r="F240" s="44"/>
    </row>
    <row r="241" spans="1:8" ht="15.95" customHeight="1" x14ac:dyDescent="0.25">
      <c r="A241" s="41" t="s">
        <v>278</v>
      </c>
      <c r="B241" s="42" t="s">
        <v>606</v>
      </c>
      <c r="C241" s="40" t="s">
        <v>6</v>
      </c>
      <c r="D241" s="45">
        <v>33.24</v>
      </c>
      <c r="E241" s="44"/>
      <c r="F241" s="44"/>
    </row>
    <row r="242" spans="1:8" ht="15.95" customHeight="1" x14ac:dyDescent="0.25">
      <c r="A242" s="41" t="s">
        <v>279</v>
      </c>
      <c r="B242" s="42" t="s">
        <v>129</v>
      </c>
      <c r="C242" s="40" t="s">
        <v>6</v>
      </c>
      <c r="D242" s="45">
        <f>+D240*2.6-2*13</f>
        <v>73.372</v>
      </c>
      <c r="E242" s="44"/>
      <c r="F242" s="44"/>
    </row>
    <row r="243" spans="1:8" ht="15.95" customHeight="1" x14ac:dyDescent="0.25">
      <c r="A243" s="41" t="s">
        <v>275</v>
      </c>
      <c r="B243" s="42" t="s">
        <v>130</v>
      </c>
      <c r="C243" s="40" t="s">
        <v>6</v>
      </c>
      <c r="D243" s="45">
        <f>+D241</f>
        <v>33.24</v>
      </c>
      <c r="E243" s="44"/>
      <c r="F243" s="44"/>
    </row>
    <row r="244" spans="1:8" ht="15.95" customHeight="1" x14ac:dyDescent="0.25">
      <c r="A244" s="41" t="s">
        <v>276</v>
      </c>
      <c r="B244" s="42" t="s">
        <v>116</v>
      </c>
      <c r="C244" s="40" t="s">
        <v>125</v>
      </c>
      <c r="D244" s="45">
        <v>4</v>
      </c>
      <c r="E244" s="44"/>
      <c r="F244" s="44"/>
    </row>
    <row r="245" spans="1:8" ht="15.95" customHeight="1" x14ac:dyDescent="0.25">
      <c r="A245" s="41" t="s">
        <v>277</v>
      </c>
      <c r="B245" s="76" t="s">
        <v>632</v>
      </c>
      <c r="C245" s="77" t="s">
        <v>126</v>
      </c>
      <c r="D245" s="78">
        <f>35.2*2</f>
        <v>70.400000000000006</v>
      </c>
      <c r="E245" s="79"/>
      <c r="F245" s="44"/>
    </row>
    <row r="246" spans="1:8" ht="15.95" customHeight="1" x14ac:dyDescent="0.25">
      <c r="A246" s="41" t="s">
        <v>280</v>
      </c>
      <c r="B246" s="76" t="s">
        <v>633</v>
      </c>
      <c r="C246" s="77" t="s">
        <v>125</v>
      </c>
      <c r="D246" s="78">
        <v>2</v>
      </c>
      <c r="E246" s="79"/>
      <c r="F246" s="44"/>
    </row>
    <row r="247" spans="1:8" ht="15.95" customHeight="1" x14ac:dyDescent="0.25">
      <c r="A247" s="41" t="s">
        <v>274</v>
      </c>
      <c r="B247" s="76" t="s">
        <v>634</v>
      </c>
      <c r="C247" s="77" t="s">
        <v>125</v>
      </c>
      <c r="D247" s="78">
        <v>2</v>
      </c>
      <c r="E247" s="79"/>
      <c r="F247" s="44"/>
    </row>
    <row r="248" spans="1:8" ht="15.95" customHeight="1" x14ac:dyDescent="0.25">
      <c r="A248" s="41" t="s">
        <v>479</v>
      </c>
      <c r="B248" s="42" t="s">
        <v>610</v>
      </c>
      <c r="C248" s="40" t="s">
        <v>125</v>
      </c>
      <c r="D248" s="45">
        <v>8</v>
      </c>
      <c r="E248" s="44"/>
      <c r="F248" s="44"/>
    </row>
    <row r="249" spans="1:8" ht="15.95" customHeight="1" x14ac:dyDescent="0.25">
      <c r="A249" s="41" t="s">
        <v>615</v>
      </c>
      <c r="B249" s="42" t="s">
        <v>464</v>
      </c>
      <c r="C249" s="40" t="s">
        <v>6</v>
      </c>
      <c r="D249" s="45">
        <f>2.1*2.6</f>
        <v>5.4600000000000009</v>
      </c>
      <c r="E249" s="44"/>
      <c r="F249" s="44"/>
    </row>
    <row r="250" spans="1:8" ht="15.95" customHeight="1" x14ac:dyDescent="0.25">
      <c r="A250" s="41" t="s">
        <v>619</v>
      </c>
      <c r="B250" s="42" t="s">
        <v>618</v>
      </c>
      <c r="C250" s="40" t="s">
        <v>125</v>
      </c>
      <c r="D250" s="45">
        <v>1</v>
      </c>
      <c r="E250" s="44"/>
      <c r="F250" s="44"/>
    </row>
    <row r="251" spans="1:8" ht="15.95" customHeight="1" x14ac:dyDescent="0.25">
      <c r="A251" s="41" t="s">
        <v>714</v>
      </c>
      <c r="B251" s="42" t="s">
        <v>480</v>
      </c>
      <c r="C251" s="40" t="s">
        <v>125</v>
      </c>
      <c r="D251" s="45">
        <v>1</v>
      </c>
      <c r="E251" s="44"/>
      <c r="F251" s="44"/>
    </row>
    <row r="252" spans="1:8" ht="15.95" customHeight="1" x14ac:dyDescent="0.25">
      <c r="A252" s="41" t="s">
        <v>715</v>
      </c>
      <c r="B252" s="42" t="s">
        <v>614</v>
      </c>
      <c r="C252" s="40" t="s">
        <v>126</v>
      </c>
      <c r="D252" s="43">
        <v>49</v>
      </c>
      <c r="E252" s="44"/>
      <c r="F252" s="44"/>
    </row>
    <row r="253" spans="1:8" ht="15.95" customHeight="1" thickBot="1" x14ac:dyDescent="0.3">
      <c r="A253" s="41" t="s">
        <v>716</v>
      </c>
      <c r="B253" s="42" t="s">
        <v>620</v>
      </c>
      <c r="C253" s="40" t="s">
        <v>125</v>
      </c>
      <c r="D253" s="45">
        <v>2</v>
      </c>
      <c r="E253" s="44"/>
      <c r="F253" s="44"/>
    </row>
    <row r="254" spans="1:8" ht="15.95" customHeight="1" thickBot="1" x14ac:dyDescent="0.3">
      <c r="A254" s="99" t="s">
        <v>466</v>
      </c>
      <c r="B254" s="54" t="s">
        <v>415</v>
      </c>
      <c r="C254" s="55"/>
      <c r="D254" s="63"/>
      <c r="E254" s="57"/>
      <c r="F254" s="57"/>
      <c r="H254" s="84">
        <f>SUM(F255:F261)</f>
        <v>0</v>
      </c>
    </row>
    <row r="255" spans="1:8" ht="15.95" customHeight="1" x14ac:dyDescent="0.25">
      <c r="A255" s="41" t="s">
        <v>467</v>
      </c>
      <c r="B255" s="42" t="s">
        <v>468</v>
      </c>
      <c r="C255" s="40" t="s">
        <v>6</v>
      </c>
      <c r="D255" s="45">
        <v>268</v>
      </c>
      <c r="E255" s="44"/>
      <c r="F255" s="44"/>
    </row>
    <row r="256" spans="1:8" ht="15.95" customHeight="1" x14ac:dyDescent="0.25">
      <c r="A256" s="41" t="s">
        <v>721</v>
      </c>
      <c r="B256" s="76" t="s">
        <v>632</v>
      </c>
      <c r="C256" s="77" t="s">
        <v>126</v>
      </c>
      <c r="D256" s="78">
        <f>1.3*61.72</f>
        <v>80.236000000000004</v>
      </c>
      <c r="E256" s="79"/>
      <c r="F256" s="44"/>
    </row>
    <row r="257" spans="1:8" ht="15.95" customHeight="1" x14ac:dyDescent="0.25">
      <c r="A257" s="41" t="s">
        <v>722</v>
      </c>
      <c r="B257" s="42" t="s">
        <v>723</v>
      </c>
      <c r="C257" s="40" t="s">
        <v>125</v>
      </c>
      <c r="D257" s="45">
        <v>13</v>
      </c>
      <c r="E257" s="44"/>
      <c r="F257" s="44"/>
    </row>
    <row r="258" spans="1:8" ht="15.95" customHeight="1" x14ac:dyDescent="0.25">
      <c r="A258" s="41" t="s">
        <v>770</v>
      </c>
      <c r="B258" s="42" t="s">
        <v>774</v>
      </c>
      <c r="C258" s="40" t="s">
        <v>126</v>
      </c>
      <c r="D258" s="43">
        <v>55</v>
      </c>
      <c r="E258" s="44"/>
      <c r="F258" s="44"/>
    </row>
    <row r="259" spans="1:8" ht="15.95" customHeight="1" x14ac:dyDescent="0.25">
      <c r="A259" s="41" t="s">
        <v>771</v>
      </c>
      <c r="B259" s="42" t="s">
        <v>537</v>
      </c>
      <c r="C259" s="40" t="s">
        <v>125</v>
      </c>
      <c r="D259" s="43">
        <v>1</v>
      </c>
      <c r="E259" s="75"/>
      <c r="F259" s="44"/>
    </row>
    <row r="260" spans="1:8" ht="15.95" customHeight="1" x14ac:dyDescent="0.25">
      <c r="A260" s="41" t="s">
        <v>772</v>
      </c>
      <c r="B260" s="42" t="s">
        <v>596</v>
      </c>
      <c r="C260" s="40" t="s">
        <v>125</v>
      </c>
      <c r="D260" s="43">
        <v>2</v>
      </c>
      <c r="E260" s="75"/>
      <c r="F260" s="44"/>
    </row>
    <row r="261" spans="1:8" ht="15.95" customHeight="1" thickBot="1" x14ac:dyDescent="0.3">
      <c r="A261" s="41" t="s">
        <v>773</v>
      </c>
      <c r="B261" s="42" t="s">
        <v>597</v>
      </c>
      <c r="C261" s="40" t="s">
        <v>125</v>
      </c>
      <c r="D261" s="43">
        <v>1</v>
      </c>
      <c r="E261" s="75"/>
      <c r="F261" s="44"/>
    </row>
    <row r="262" spans="1:8" ht="15.95" customHeight="1" thickBot="1" x14ac:dyDescent="0.3">
      <c r="A262" s="99" t="s">
        <v>45</v>
      </c>
      <c r="B262" s="54" t="s">
        <v>472</v>
      </c>
      <c r="C262" s="55"/>
      <c r="D262" s="63"/>
      <c r="E262" s="57"/>
      <c r="F262" s="57"/>
      <c r="H262" s="84">
        <f>SUM(H263:H415)</f>
        <v>0</v>
      </c>
    </row>
    <row r="263" spans="1:8" ht="15.95" customHeight="1" thickBot="1" x14ac:dyDescent="0.3">
      <c r="A263" s="99" t="s">
        <v>48</v>
      </c>
      <c r="B263" s="54" t="s">
        <v>292</v>
      </c>
      <c r="C263" s="55"/>
      <c r="D263" s="63"/>
      <c r="E263" s="57"/>
      <c r="F263" s="57"/>
      <c r="H263" s="84">
        <f>SUM(F264:F276)</f>
        <v>0</v>
      </c>
    </row>
    <row r="264" spans="1:8" ht="15.95" customHeight="1" x14ac:dyDescent="0.25">
      <c r="A264" s="41" t="s">
        <v>71</v>
      </c>
      <c r="B264" s="42" t="s">
        <v>129</v>
      </c>
      <c r="C264" s="40" t="s">
        <v>6</v>
      </c>
      <c r="D264" s="45">
        <f>17.6*2.6-2-D269</f>
        <v>40.767900000000004</v>
      </c>
      <c r="E264" s="44"/>
      <c r="F264" s="44"/>
    </row>
    <row r="265" spans="1:8" ht="15.95" customHeight="1" x14ac:dyDescent="0.25">
      <c r="A265" s="41" t="s">
        <v>72</v>
      </c>
      <c r="B265" s="42" t="s">
        <v>130</v>
      </c>
      <c r="C265" s="40" t="s">
        <v>6</v>
      </c>
      <c r="D265" s="45">
        <v>17.100000000000001</v>
      </c>
      <c r="E265" s="44"/>
      <c r="F265" s="44"/>
    </row>
    <row r="266" spans="1:8" ht="15.95" customHeight="1" x14ac:dyDescent="0.25">
      <c r="A266" s="41" t="s">
        <v>73</v>
      </c>
      <c r="B266" s="42" t="s">
        <v>210</v>
      </c>
      <c r="C266" s="40" t="s">
        <v>125</v>
      </c>
      <c r="D266" s="45">
        <v>1</v>
      </c>
      <c r="E266" s="44"/>
      <c r="F266" s="44"/>
    </row>
    <row r="267" spans="1:8" ht="15.95" customHeight="1" x14ac:dyDescent="0.25">
      <c r="A267" s="41" t="s">
        <v>74</v>
      </c>
      <c r="B267" s="42" t="s">
        <v>601</v>
      </c>
      <c r="C267" s="40" t="s">
        <v>125</v>
      </c>
      <c r="D267" s="45">
        <v>1</v>
      </c>
      <c r="E267" s="44"/>
      <c r="F267" s="44"/>
    </row>
    <row r="268" spans="1:8" ht="15.95" customHeight="1" x14ac:dyDescent="0.25">
      <c r="A268" s="41" t="s">
        <v>108</v>
      </c>
      <c r="B268" s="42" t="s">
        <v>455</v>
      </c>
      <c r="C268" s="40" t="s">
        <v>125</v>
      </c>
      <c r="D268" s="45">
        <v>1</v>
      </c>
      <c r="E268" s="44"/>
      <c r="F268" s="44"/>
    </row>
    <row r="269" spans="1:8" ht="15.95" customHeight="1" x14ac:dyDescent="0.25">
      <c r="A269" s="41" t="s">
        <v>109</v>
      </c>
      <c r="B269" s="42" t="s">
        <v>117</v>
      </c>
      <c r="C269" s="40" t="s">
        <v>6</v>
      </c>
      <c r="D269" s="45">
        <f>2.92*0.44*2+0.65*0.65</f>
        <v>2.9920999999999998</v>
      </c>
      <c r="E269" s="44"/>
      <c r="F269" s="44"/>
    </row>
    <row r="270" spans="1:8" ht="15.95" customHeight="1" x14ac:dyDescent="0.25">
      <c r="A270" s="41" t="s">
        <v>110</v>
      </c>
      <c r="B270" s="42" t="s">
        <v>599</v>
      </c>
      <c r="C270" s="40" t="s">
        <v>6</v>
      </c>
      <c r="D270" s="45">
        <f>+D269</f>
        <v>2.9920999999999998</v>
      </c>
      <c r="E270" s="44"/>
      <c r="F270" s="44"/>
    </row>
    <row r="271" spans="1:8" ht="15.95" customHeight="1" x14ac:dyDescent="0.25">
      <c r="A271" s="41" t="s">
        <v>111</v>
      </c>
      <c r="B271" s="76" t="s">
        <v>632</v>
      </c>
      <c r="C271" s="77" t="s">
        <v>126</v>
      </c>
      <c r="D271" s="78">
        <f>17.3*2</f>
        <v>34.6</v>
      </c>
      <c r="E271" s="79"/>
      <c r="F271" s="44"/>
    </row>
    <row r="272" spans="1:8" ht="15.95" customHeight="1" x14ac:dyDescent="0.25">
      <c r="A272" s="41" t="s">
        <v>444</v>
      </c>
      <c r="B272" s="76" t="s">
        <v>633</v>
      </c>
      <c r="C272" s="77" t="s">
        <v>125</v>
      </c>
      <c r="D272" s="78">
        <v>3</v>
      </c>
      <c r="E272" s="79"/>
      <c r="F272" s="44"/>
    </row>
    <row r="273" spans="1:8" ht="15.95" customHeight="1" x14ac:dyDescent="0.25">
      <c r="A273" s="41" t="s">
        <v>583</v>
      </c>
      <c r="B273" s="76" t="s">
        <v>634</v>
      </c>
      <c r="C273" s="77" t="s">
        <v>125</v>
      </c>
      <c r="D273" s="78">
        <v>1</v>
      </c>
      <c r="E273" s="79"/>
      <c r="F273" s="44"/>
    </row>
    <row r="274" spans="1:8" ht="15.95" customHeight="1" x14ac:dyDescent="0.25">
      <c r="A274" s="41" t="s">
        <v>635</v>
      </c>
      <c r="B274" s="42" t="s">
        <v>610</v>
      </c>
      <c r="C274" s="40" t="s">
        <v>125</v>
      </c>
      <c r="D274" s="45">
        <v>2</v>
      </c>
      <c r="E274" s="44"/>
      <c r="F274" s="44"/>
    </row>
    <row r="275" spans="1:8" ht="15.95" customHeight="1" x14ac:dyDescent="0.25">
      <c r="A275" s="41" t="s">
        <v>636</v>
      </c>
      <c r="B275" s="42" t="s">
        <v>600</v>
      </c>
      <c r="C275" s="40" t="s">
        <v>6</v>
      </c>
      <c r="D275" s="45">
        <f>+D270</f>
        <v>2.9920999999999998</v>
      </c>
      <c r="E275" s="44"/>
      <c r="F275" s="44"/>
    </row>
    <row r="276" spans="1:8" ht="15.95" customHeight="1" thickBot="1" x14ac:dyDescent="0.3">
      <c r="A276" s="41" t="s">
        <v>637</v>
      </c>
      <c r="B276" s="42" t="s">
        <v>554</v>
      </c>
      <c r="C276" s="40" t="s">
        <v>6</v>
      </c>
      <c r="D276" s="45">
        <v>2.25</v>
      </c>
      <c r="E276" s="44"/>
      <c r="F276" s="44"/>
    </row>
    <row r="277" spans="1:8" ht="15.95" customHeight="1" thickBot="1" x14ac:dyDescent="0.3">
      <c r="A277" s="99" t="s">
        <v>57</v>
      </c>
      <c r="B277" s="54" t="s">
        <v>484</v>
      </c>
      <c r="C277" s="55"/>
      <c r="D277" s="63"/>
      <c r="E277" s="57"/>
      <c r="F277" s="57"/>
      <c r="H277" s="84">
        <f>SUM(F278:F290)</f>
        <v>0</v>
      </c>
    </row>
    <row r="278" spans="1:8" ht="15.95" customHeight="1" x14ac:dyDescent="0.25">
      <c r="A278" s="41" t="s">
        <v>75</v>
      </c>
      <c r="B278" s="42" t="s">
        <v>129</v>
      </c>
      <c r="C278" s="40" t="s">
        <v>6</v>
      </c>
      <c r="D278" s="45">
        <f>13.68*2.6-2-D283</f>
        <v>31.860699999999998</v>
      </c>
      <c r="E278" s="44"/>
      <c r="F278" s="44"/>
    </row>
    <row r="279" spans="1:8" ht="15.95" customHeight="1" x14ac:dyDescent="0.25">
      <c r="A279" s="41" t="s">
        <v>76</v>
      </c>
      <c r="B279" s="42" t="s">
        <v>130</v>
      </c>
      <c r="C279" s="40" t="s">
        <v>6</v>
      </c>
      <c r="D279" s="45">
        <v>11.43</v>
      </c>
      <c r="E279" s="44"/>
      <c r="F279" s="44"/>
    </row>
    <row r="280" spans="1:8" ht="15.95" customHeight="1" x14ac:dyDescent="0.25">
      <c r="A280" s="41" t="s">
        <v>77</v>
      </c>
      <c r="B280" s="42" t="s">
        <v>210</v>
      </c>
      <c r="C280" s="40" t="s">
        <v>125</v>
      </c>
      <c r="D280" s="45">
        <v>1</v>
      </c>
      <c r="E280" s="44"/>
      <c r="F280" s="44"/>
    </row>
    <row r="281" spans="1:8" ht="15.95" customHeight="1" x14ac:dyDescent="0.25">
      <c r="A281" s="41" t="s">
        <v>78</v>
      </c>
      <c r="B281" s="42" t="s">
        <v>601</v>
      </c>
      <c r="C281" s="40" t="s">
        <v>125</v>
      </c>
      <c r="D281" s="45">
        <v>1</v>
      </c>
      <c r="E281" s="44"/>
      <c r="F281" s="44"/>
    </row>
    <row r="282" spans="1:8" ht="15.95" customHeight="1" x14ac:dyDescent="0.25">
      <c r="A282" s="41" t="s">
        <v>79</v>
      </c>
      <c r="B282" s="42" t="s">
        <v>455</v>
      </c>
      <c r="C282" s="40" t="s">
        <v>125</v>
      </c>
      <c r="D282" s="45">
        <v>1</v>
      </c>
      <c r="E282" s="44"/>
      <c r="F282" s="44"/>
    </row>
    <row r="283" spans="1:8" ht="15.95" customHeight="1" x14ac:dyDescent="0.25">
      <c r="A283" s="41" t="s">
        <v>80</v>
      </c>
      <c r="B283" s="42" t="s">
        <v>117</v>
      </c>
      <c r="C283" s="40" t="s">
        <v>6</v>
      </c>
      <c r="D283" s="45">
        <f>2.92*0.44+0.65*0.65</f>
        <v>1.7073</v>
      </c>
      <c r="E283" s="44"/>
      <c r="F283" s="44"/>
    </row>
    <row r="284" spans="1:8" ht="15.95" customHeight="1" x14ac:dyDescent="0.25">
      <c r="A284" s="41" t="s">
        <v>81</v>
      </c>
      <c r="B284" s="42" t="s">
        <v>599</v>
      </c>
      <c r="C284" s="40" t="s">
        <v>6</v>
      </c>
      <c r="D284" s="45">
        <f>+D283</f>
        <v>1.7073</v>
      </c>
      <c r="E284" s="44"/>
      <c r="F284" s="44"/>
    </row>
    <row r="285" spans="1:8" ht="15.95" customHeight="1" x14ac:dyDescent="0.25">
      <c r="A285" s="41" t="s">
        <v>112</v>
      </c>
      <c r="B285" s="76" t="s">
        <v>632</v>
      </c>
      <c r="C285" s="77" t="s">
        <v>126</v>
      </c>
      <c r="D285" s="78">
        <f>13.38*2</f>
        <v>26.76</v>
      </c>
      <c r="E285" s="79"/>
      <c r="F285" s="44"/>
    </row>
    <row r="286" spans="1:8" ht="15.95" customHeight="1" x14ac:dyDescent="0.25">
      <c r="A286" s="41" t="s">
        <v>445</v>
      </c>
      <c r="B286" s="76" t="s">
        <v>633</v>
      </c>
      <c r="C286" s="77" t="s">
        <v>125</v>
      </c>
      <c r="D286" s="78">
        <v>2</v>
      </c>
      <c r="E286" s="79"/>
      <c r="F286" s="44"/>
    </row>
    <row r="287" spans="1:8" ht="15.95" customHeight="1" x14ac:dyDescent="0.25">
      <c r="A287" s="41" t="s">
        <v>584</v>
      </c>
      <c r="B287" s="76" t="s">
        <v>634</v>
      </c>
      <c r="C287" s="77" t="s">
        <v>125</v>
      </c>
      <c r="D287" s="78">
        <v>1</v>
      </c>
      <c r="E287" s="79"/>
      <c r="F287" s="44"/>
    </row>
    <row r="288" spans="1:8" ht="15.95" customHeight="1" x14ac:dyDescent="0.25">
      <c r="A288" s="41" t="s">
        <v>638</v>
      </c>
      <c r="B288" s="42" t="s">
        <v>610</v>
      </c>
      <c r="C288" s="40" t="s">
        <v>125</v>
      </c>
      <c r="D288" s="45">
        <v>2</v>
      </c>
      <c r="E288" s="44"/>
      <c r="F288" s="44"/>
    </row>
    <row r="289" spans="1:8" ht="15.95" customHeight="1" x14ac:dyDescent="0.25">
      <c r="A289" s="41" t="s">
        <v>639</v>
      </c>
      <c r="B289" s="42" t="s">
        <v>600</v>
      </c>
      <c r="C289" s="40" t="s">
        <v>6</v>
      </c>
      <c r="D289" s="45">
        <f>+D284</f>
        <v>1.7073</v>
      </c>
      <c r="E289" s="44"/>
      <c r="F289" s="44"/>
    </row>
    <row r="290" spans="1:8" ht="15.95" customHeight="1" thickBot="1" x14ac:dyDescent="0.3">
      <c r="A290" s="41" t="s">
        <v>640</v>
      </c>
      <c r="B290" s="42" t="s">
        <v>554</v>
      </c>
      <c r="C290" s="40" t="s">
        <v>6</v>
      </c>
      <c r="D290" s="45">
        <v>2.25</v>
      </c>
      <c r="E290" s="44"/>
      <c r="F290" s="44"/>
    </row>
    <row r="291" spans="1:8" ht="15.95" customHeight="1" thickBot="1" x14ac:dyDescent="0.3">
      <c r="A291" s="99" t="s">
        <v>295</v>
      </c>
      <c r="B291" s="54" t="s">
        <v>294</v>
      </c>
      <c r="C291" s="55"/>
      <c r="D291" s="63"/>
      <c r="E291" s="57"/>
      <c r="F291" s="57"/>
      <c r="H291" s="84">
        <f>SUM(F292:F304)</f>
        <v>0</v>
      </c>
    </row>
    <row r="292" spans="1:8" ht="15.95" customHeight="1" x14ac:dyDescent="0.25">
      <c r="A292" s="41" t="s">
        <v>296</v>
      </c>
      <c r="B292" s="42" t="s">
        <v>129</v>
      </c>
      <c r="C292" s="40" t="s">
        <v>6</v>
      </c>
      <c r="D292" s="45">
        <f>13.68*2.6-2-D297</f>
        <v>31.860699999999998</v>
      </c>
      <c r="E292" s="44"/>
      <c r="F292" s="44"/>
    </row>
    <row r="293" spans="1:8" ht="15.95" customHeight="1" x14ac:dyDescent="0.25">
      <c r="A293" s="41" t="s">
        <v>297</v>
      </c>
      <c r="B293" s="42" t="s">
        <v>130</v>
      </c>
      <c r="C293" s="40" t="s">
        <v>6</v>
      </c>
      <c r="D293" s="45">
        <v>11.43</v>
      </c>
      <c r="E293" s="44"/>
      <c r="F293" s="44"/>
    </row>
    <row r="294" spans="1:8" ht="15.95" customHeight="1" x14ac:dyDescent="0.25">
      <c r="A294" s="41" t="s">
        <v>298</v>
      </c>
      <c r="B294" s="42" t="s">
        <v>210</v>
      </c>
      <c r="C294" s="40" t="s">
        <v>125</v>
      </c>
      <c r="D294" s="45">
        <v>1</v>
      </c>
      <c r="E294" s="44"/>
      <c r="F294" s="44"/>
    </row>
    <row r="295" spans="1:8" ht="15.95" customHeight="1" x14ac:dyDescent="0.25">
      <c r="A295" s="41" t="s">
        <v>299</v>
      </c>
      <c r="B295" s="42" t="s">
        <v>601</v>
      </c>
      <c r="C295" s="40" t="s">
        <v>125</v>
      </c>
      <c r="D295" s="45">
        <v>1</v>
      </c>
      <c r="E295" s="44"/>
      <c r="F295" s="44"/>
    </row>
    <row r="296" spans="1:8" ht="15.95" customHeight="1" x14ac:dyDescent="0.25">
      <c r="A296" s="41" t="s">
        <v>300</v>
      </c>
      <c r="B296" s="42" t="s">
        <v>455</v>
      </c>
      <c r="C296" s="40" t="s">
        <v>125</v>
      </c>
      <c r="D296" s="45">
        <v>1</v>
      </c>
      <c r="E296" s="44"/>
      <c r="F296" s="44"/>
    </row>
    <row r="297" spans="1:8" ht="15.95" customHeight="1" x14ac:dyDescent="0.25">
      <c r="A297" s="41" t="s">
        <v>301</v>
      </c>
      <c r="B297" s="42" t="s">
        <v>117</v>
      </c>
      <c r="C297" s="40" t="s">
        <v>6</v>
      </c>
      <c r="D297" s="45">
        <f>2.92*0.44+0.65*0.65</f>
        <v>1.7073</v>
      </c>
      <c r="E297" s="44"/>
      <c r="F297" s="44"/>
    </row>
    <row r="298" spans="1:8" ht="15.95" customHeight="1" x14ac:dyDescent="0.25">
      <c r="A298" s="41" t="s">
        <v>302</v>
      </c>
      <c r="B298" s="42" t="s">
        <v>599</v>
      </c>
      <c r="C298" s="40" t="s">
        <v>6</v>
      </c>
      <c r="D298" s="45">
        <f>+D297</f>
        <v>1.7073</v>
      </c>
      <c r="E298" s="44"/>
      <c r="F298" s="44"/>
    </row>
    <row r="299" spans="1:8" ht="15.95" customHeight="1" x14ac:dyDescent="0.25">
      <c r="A299" s="41" t="s">
        <v>303</v>
      </c>
      <c r="B299" s="76" t="s">
        <v>632</v>
      </c>
      <c r="C299" s="77" t="s">
        <v>126</v>
      </c>
      <c r="D299" s="78">
        <f>13.38*2</f>
        <v>26.76</v>
      </c>
      <c r="E299" s="79"/>
      <c r="F299" s="44"/>
    </row>
    <row r="300" spans="1:8" ht="15.95" customHeight="1" x14ac:dyDescent="0.25">
      <c r="A300" s="41" t="s">
        <v>446</v>
      </c>
      <c r="B300" s="76" t="s">
        <v>633</v>
      </c>
      <c r="C300" s="77" t="s">
        <v>125</v>
      </c>
      <c r="D300" s="78">
        <v>2</v>
      </c>
      <c r="E300" s="79"/>
      <c r="F300" s="44"/>
    </row>
    <row r="301" spans="1:8" ht="15.95" customHeight="1" x14ac:dyDescent="0.25">
      <c r="A301" s="41" t="s">
        <v>585</v>
      </c>
      <c r="B301" s="76" t="s">
        <v>634</v>
      </c>
      <c r="C301" s="77" t="s">
        <v>125</v>
      </c>
      <c r="D301" s="78">
        <v>1</v>
      </c>
      <c r="E301" s="79"/>
      <c r="F301" s="44"/>
    </row>
    <row r="302" spans="1:8" ht="15.95" customHeight="1" x14ac:dyDescent="0.25">
      <c r="A302" s="41" t="s">
        <v>641</v>
      </c>
      <c r="B302" s="42" t="s">
        <v>610</v>
      </c>
      <c r="C302" s="40" t="s">
        <v>125</v>
      </c>
      <c r="D302" s="45">
        <v>2</v>
      </c>
      <c r="E302" s="44"/>
      <c r="F302" s="44"/>
    </row>
    <row r="303" spans="1:8" ht="15.95" customHeight="1" x14ac:dyDescent="0.25">
      <c r="A303" s="41" t="s">
        <v>642</v>
      </c>
      <c r="B303" s="42" t="s">
        <v>600</v>
      </c>
      <c r="C303" s="40" t="s">
        <v>6</v>
      </c>
      <c r="D303" s="45">
        <f>+D298</f>
        <v>1.7073</v>
      </c>
      <c r="E303" s="44"/>
      <c r="F303" s="44"/>
    </row>
    <row r="304" spans="1:8" ht="15.95" customHeight="1" thickBot="1" x14ac:dyDescent="0.3">
      <c r="A304" s="41" t="s">
        <v>643</v>
      </c>
      <c r="B304" s="42" t="s">
        <v>554</v>
      </c>
      <c r="C304" s="40" t="s">
        <v>6</v>
      </c>
      <c r="D304" s="45">
        <v>2.25</v>
      </c>
      <c r="E304" s="44"/>
      <c r="F304" s="44"/>
    </row>
    <row r="305" spans="1:8" ht="15.95" customHeight="1" thickBot="1" x14ac:dyDescent="0.3">
      <c r="A305" s="99" t="s">
        <v>305</v>
      </c>
      <c r="B305" s="54" t="s">
        <v>304</v>
      </c>
      <c r="C305" s="55"/>
      <c r="D305" s="63"/>
      <c r="E305" s="57"/>
      <c r="F305" s="57"/>
      <c r="H305" s="84">
        <f>SUM(F306:F318)</f>
        <v>0</v>
      </c>
    </row>
    <row r="306" spans="1:8" ht="15.95" customHeight="1" x14ac:dyDescent="0.25">
      <c r="A306" s="41" t="s">
        <v>306</v>
      </c>
      <c r="B306" s="42" t="s">
        <v>129</v>
      </c>
      <c r="C306" s="40" t="s">
        <v>6</v>
      </c>
      <c r="D306" s="45">
        <f>13.68*2.6-2-D311</f>
        <v>31.860699999999998</v>
      </c>
      <c r="E306" s="44"/>
      <c r="F306" s="44"/>
    </row>
    <row r="307" spans="1:8" ht="15.95" customHeight="1" x14ac:dyDescent="0.25">
      <c r="A307" s="41" t="s">
        <v>307</v>
      </c>
      <c r="B307" s="42" t="s">
        <v>130</v>
      </c>
      <c r="C307" s="40" t="s">
        <v>6</v>
      </c>
      <c r="D307" s="45">
        <v>11.43</v>
      </c>
      <c r="E307" s="44"/>
      <c r="F307" s="44"/>
    </row>
    <row r="308" spans="1:8" ht="15.95" customHeight="1" x14ac:dyDescent="0.25">
      <c r="A308" s="41" t="s">
        <v>308</v>
      </c>
      <c r="B308" s="42" t="s">
        <v>210</v>
      </c>
      <c r="C308" s="40" t="s">
        <v>125</v>
      </c>
      <c r="D308" s="45">
        <v>1</v>
      </c>
      <c r="E308" s="44"/>
      <c r="F308" s="44"/>
    </row>
    <row r="309" spans="1:8" ht="15.95" customHeight="1" x14ac:dyDescent="0.25">
      <c r="A309" s="41" t="s">
        <v>309</v>
      </c>
      <c r="B309" s="42" t="s">
        <v>601</v>
      </c>
      <c r="C309" s="40" t="s">
        <v>125</v>
      </c>
      <c r="D309" s="45">
        <v>1</v>
      </c>
      <c r="E309" s="44"/>
      <c r="F309" s="44"/>
    </row>
    <row r="310" spans="1:8" ht="15.95" customHeight="1" x14ac:dyDescent="0.25">
      <c r="A310" s="41" t="s">
        <v>310</v>
      </c>
      <c r="B310" s="42" t="s">
        <v>455</v>
      </c>
      <c r="C310" s="40" t="s">
        <v>125</v>
      </c>
      <c r="D310" s="45">
        <v>1</v>
      </c>
      <c r="E310" s="44"/>
      <c r="F310" s="44"/>
    </row>
    <row r="311" spans="1:8" ht="15.95" customHeight="1" x14ac:dyDescent="0.25">
      <c r="A311" s="41" t="s">
        <v>311</v>
      </c>
      <c r="B311" s="42" t="s">
        <v>117</v>
      </c>
      <c r="C311" s="40" t="s">
        <v>6</v>
      </c>
      <c r="D311" s="45">
        <f>2.92*0.44+0.65*0.65</f>
        <v>1.7073</v>
      </c>
      <c r="E311" s="44"/>
      <c r="F311" s="44"/>
    </row>
    <row r="312" spans="1:8" ht="15.95" customHeight="1" x14ac:dyDescent="0.25">
      <c r="A312" s="41" t="s">
        <v>312</v>
      </c>
      <c r="B312" s="42" t="s">
        <v>599</v>
      </c>
      <c r="C312" s="40" t="s">
        <v>6</v>
      </c>
      <c r="D312" s="45">
        <f>+D311</f>
        <v>1.7073</v>
      </c>
      <c r="E312" s="44"/>
      <c r="F312" s="44"/>
    </row>
    <row r="313" spans="1:8" ht="15.95" customHeight="1" x14ac:dyDescent="0.25">
      <c r="A313" s="41" t="s">
        <v>313</v>
      </c>
      <c r="B313" s="76" t="s">
        <v>632</v>
      </c>
      <c r="C313" s="77" t="s">
        <v>126</v>
      </c>
      <c r="D313" s="78">
        <f>13.38*2</f>
        <v>26.76</v>
      </c>
      <c r="E313" s="79"/>
      <c r="F313" s="44"/>
    </row>
    <row r="314" spans="1:8" ht="15.95" customHeight="1" x14ac:dyDescent="0.25">
      <c r="A314" s="41" t="s">
        <v>447</v>
      </c>
      <c r="B314" s="76" t="s">
        <v>633</v>
      </c>
      <c r="C314" s="77" t="s">
        <v>125</v>
      </c>
      <c r="D314" s="78">
        <v>2</v>
      </c>
      <c r="E314" s="79"/>
      <c r="F314" s="44"/>
    </row>
    <row r="315" spans="1:8" ht="15.95" customHeight="1" x14ac:dyDescent="0.25">
      <c r="A315" s="41" t="s">
        <v>586</v>
      </c>
      <c r="B315" s="76" t="s">
        <v>634</v>
      </c>
      <c r="C315" s="77" t="s">
        <v>125</v>
      </c>
      <c r="D315" s="78">
        <v>1</v>
      </c>
      <c r="E315" s="79"/>
      <c r="F315" s="44"/>
    </row>
    <row r="316" spans="1:8" ht="15.95" customHeight="1" x14ac:dyDescent="0.25">
      <c r="A316" s="41" t="s">
        <v>644</v>
      </c>
      <c r="B316" s="42" t="s">
        <v>610</v>
      </c>
      <c r="C316" s="40" t="s">
        <v>125</v>
      </c>
      <c r="D316" s="45">
        <v>2</v>
      </c>
      <c r="E316" s="44"/>
      <c r="F316" s="44"/>
    </row>
    <row r="317" spans="1:8" ht="15.95" customHeight="1" x14ac:dyDescent="0.25">
      <c r="A317" s="41" t="s">
        <v>645</v>
      </c>
      <c r="B317" s="42" t="s">
        <v>600</v>
      </c>
      <c r="C317" s="40" t="s">
        <v>6</v>
      </c>
      <c r="D317" s="45">
        <f>+D312</f>
        <v>1.7073</v>
      </c>
      <c r="E317" s="44"/>
      <c r="F317" s="44"/>
    </row>
    <row r="318" spans="1:8" ht="15.95" customHeight="1" thickBot="1" x14ac:dyDescent="0.3">
      <c r="A318" s="41" t="s">
        <v>646</v>
      </c>
      <c r="B318" s="42" t="s">
        <v>554</v>
      </c>
      <c r="C318" s="40" t="s">
        <v>6</v>
      </c>
      <c r="D318" s="45">
        <v>2.25</v>
      </c>
      <c r="E318" s="44"/>
      <c r="F318" s="44"/>
    </row>
    <row r="319" spans="1:8" ht="15.95" customHeight="1" thickBot="1" x14ac:dyDescent="0.3">
      <c r="A319" s="99" t="s">
        <v>314</v>
      </c>
      <c r="B319" s="54" t="s">
        <v>607</v>
      </c>
      <c r="C319" s="55"/>
      <c r="D319" s="63"/>
      <c r="E319" s="57"/>
      <c r="F319" s="57"/>
      <c r="H319" s="84">
        <f>SUM(F320:F335)</f>
        <v>0</v>
      </c>
    </row>
    <row r="320" spans="1:8" ht="15.95" customHeight="1" x14ac:dyDescent="0.25">
      <c r="A320" s="41" t="s">
        <v>315</v>
      </c>
      <c r="B320" s="42" t="s">
        <v>129</v>
      </c>
      <c r="C320" s="40" t="s">
        <v>6</v>
      </c>
      <c r="D320" s="45">
        <f>17.54*2.6-2-D325</f>
        <v>40.611899999999999</v>
      </c>
      <c r="E320" s="44"/>
      <c r="F320" s="44"/>
    </row>
    <row r="321" spans="1:8" ht="15.95" customHeight="1" x14ac:dyDescent="0.25">
      <c r="A321" s="41" t="s">
        <v>316</v>
      </c>
      <c r="B321" s="42" t="s">
        <v>130</v>
      </c>
      <c r="C321" s="40" t="s">
        <v>6</v>
      </c>
      <c r="D321" s="45">
        <v>16.899999999999999</v>
      </c>
      <c r="E321" s="44"/>
      <c r="F321" s="44"/>
    </row>
    <row r="322" spans="1:8" ht="15.95" customHeight="1" x14ac:dyDescent="0.25">
      <c r="A322" s="41" t="s">
        <v>317</v>
      </c>
      <c r="B322" s="42" t="s">
        <v>210</v>
      </c>
      <c r="C322" s="40" t="s">
        <v>125</v>
      </c>
      <c r="D322" s="45">
        <v>1</v>
      </c>
      <c r="E322" s="44"/>
      <c r="F322" s="44"/>
    </row>
    <row r="323" spans="1:8" ht="15.95" customHeight="1" x14ac:dyDescent="0.25">
      <c r="A323" s="41" t="s">
        <v>318</v>
      </c>
      <c r="B323" s="42" t="s">
        <v>601</v>
      </c>
      <c r="C323" s="40" t="s">
        <v>125</v>
      </c>
      <c r="D323" s="45">
        <v>1</v>
      </c>
      <c r="E323" s="44"/>
      <c r="F323" s="44"/>
    </row>
    <row r="324" spans="1:8" ht="15.95" customHeight="1" x14ac:dyDescent="0.25">
      <c r="A324" s="41" t="s">
        <v>319</v>
      </c>
      <c r="B324" s="42" t="s">
        <v>455</v>
      </c>
      <c r="C324" s="40" t="s">
        <v>125</v>
      </c>
      <c r="D324" s="45">
        <v>1</v>
      </c>
      <c r="E324" s="44"/>
      <c r="F324" s="44"/>
    </row>
    <row r="325" spans="1:8" ht="15.95" customHeight="1" x14ac:dyDescent="0.25">
      <c r="A325" s="41" t="s">
        <v>320</v>
      </c>
      <c r="B325" s="42" t="s">
        <v>117</v>
      </c>
      <c r="C325" s="40" t="s">
        <v>6</v>
      </c>
      <c r="D325" s="45">
        <f>2.92*0.44*2+0.65*0.65</f>
        <v>2.9920999999999998</v>
      </c>
      <c r="E325" s="44"/>
      <c r="F325" s="44"/>
    </row>
    <row r="326" spans="1:8" ht="15.95" customHeight="1" x14ac:dyDescent="0.25">
      <c r="A326" s="41" t="s">
        <v>321</v>
      </c>
      <c r="B326" s="42" t="s">
        <v>599</v>
      </c>
      <c r="C326" s="40" t="s">
        <v>6</v>
      </c>
      <c r="D326" s="45">
        <f>+D325</f>
        <v>2.9920999999999998</v>
      </c>
      <c r="E326" s="44"/>
      <c r="F326" s="44"/>
    </row>
    <row r="327" spans="1:8" ht="15.95" customHeight="1" x14ac:dyDescent="0.25">
      <c r="A327" s="41" t="s">
        <v>322</v>
      </c>
      <c r="B327" s="76" t="s">
        <v>632</v>
      </c>
      <c r="C327" s="77" t="s">
        <v>126</v>
      </c>
      <c r="D327" s="78">
        <f>17.24*2</f>
        <v>34.479999999999997</v>
      </c>
      <c r="E327" s="79"/>
      <c r="F327" s="44"/>
    </row>
    <row r="328" spans="1:8" ht="15.95" customHeight="1" x14ac:dyDescent="0.25">
      <c r="A328" s="41" t="s">
        <v>325</v>
      </c>
      <c r="B328" s="76" t="s">
        <v>633</v>
      </c>
      <c r="C328" s="77" t="s">
        <v>125</v>
      </c>
      <c r="D328" s="78">
        <v>3</v>
      </c>
      <c r="E328" s="79"/>
      <c r="F328" s="44"/>
    </row>
    <row r="329" spans="1:8" ht="15.95" customHeight="1" x14ac:dyDescent="0.25">
      <c r="A329" s="41" t="s">
        <v>326</v>
      </c>
      <c r="B329" s="76" t="s">
        <v>634</v>
      </c>
      <c r="C329" s="77" t="s">
        <v>125</v>
      </c>
      <c r="D329" s="78">
        <v>1</v>
      </c>
      <c r="E329" s="79"/>
      <c r="F329" s="44"/>
    </row>
    <row r="330" spans="1:8" ht="15.95" customHeight="1" x14ac:dyDescent="0.25">
      <c r="A330" s="41" t="s">
        <v>448</v>
      </c>
      <c r="B330" s="42" t="s">
        <v>610</v>
      </c>
      <c r="C330" s="40" t="s">
        <v>125</v>
      </c>
      <c r="D330" s="45">
        <v>3</v>
      </c>
      <c r="E330" s="44"/>
      <c r="F330" s="44"/>
    </row>
    <row r="331" spans="1:8" ht="15.95" customHeight="1" x14ac:dyDescent="0.25">
      <c r="A331" s="41" t="s">
        <v>481</v>
      </c>
      <c r="B331" s="42" t="s">
        <v>323</v>
      </c>
      <c r="C331" s="40" t="s">
        <v>125</v>
      </c>
      <c r="D331" s="45">
        <v>1</v>
      </c>
      <c r="E331" s="44"/>
      <c r="F331" s="44"/>
    </row>
    <row r="332" spans="1:8" ht="15.95" customHeight="1" x14ac:dyDescent="0.25">
      <c r="A332" s="41" t="s">
        <v>482</v>
      </c>
      <c r="B332" s="42" t="s">
        <v>324</v>
      </c>
      <c r="C332" s="40" t="s">
        <v>125</v>
      </c>
      <c r="D332" s="45">
        <v>1</v>
      </c>
      <c r="E332" s="44"/>
      <c r="F332" s="44"/>
    </row>
    <row r="333" spans="1:8" ht="15.95" customHeight="1" x14ac:dyDescent="0.25">
      <c r="A333" s="41" t="s">
        <v>647</v>
      </c>
      <c r="B333" s="42" t="s">
        <v>600</v>
      </c>
      <c r="C333" s="40" t="s">
        <v>6</v>
      </c>
      <c r="D333" s="45">
        <f>+D326</f>
        <v>2.9920999999999998</v>
      </c>
      <c r="E333" s="44"/>
      <c r="F333" s="44"/>
    </row>
    <row r="334" spans="1:8" ht="15.95" customHeight="1" x14ac:dyDescent="0.25">
      <c r="A334" s="41" t="s">
        <v>648</v>
      </c>
      <c r="B334" s="42" t="s">
        <v>453</v>
      </c>
      <c r="C334" s="40" t="s">
        <v>6</v>
      </c>
      <c r="D334" s="45">
        <v>1.6</v>
      </c>
      <c r="E334" s="44"/>
      <c r="F334" s="44"/>
    </row>
    <row r="335" spans="1:8" ht="15.95" customHeight="1" thickBot="1" x14ac:dyDescent="0.3">
      <c r="A335" s="41" t="s">
        <v>649</v>
      </c>
      <c r="B335" s="42" t="s">
        <v>483</v>
      </c>
      <c r="C335" s="40" t="s">
        <v>6</v>
      </c>
      <c r="D335" s="45">
        <v>2</v>
      </c>
      <c r="E335" s="44"/>
      <c r="F335" s="44"/>
    </row>
    <row r="336" spans="1:8" ht="15.95" customHeight="1" thickBot="1" x14ac:dyDescent="0.3">
      <c r="A336" s="99" t="s">
        <v>327</v>
      </c>
      <c r="B336" s="54" t="s">
        <v>609</v>
      </c>
      <c r="C336" s="55"/>
      <c r="D336" s="63"/>
      <c r="E336" s="57"/>
      <c r="F336" s="57"/>
      <c r="H336" s="84">
        <f>SUM(F337:F349)</f>
        <v>0</v>
      </c>
    </row>
    <row r="337" spans="1:8" ht="15.95" customHeight="1" x14ac:dyDescent="0.25">
      <c r="A337" s="41" t="s">
        <v>328</v>
      </c>
      <c r="B337" s="42" t="s">
        <v>129</v>
      </c>
      <c r="C337" s="40" t="s">
        <v>6</v>
      </c>
      <c r="D337" s="45">
        <f>17.85*2.6-2-D342</f>
        <v>42.702700000000007</v>
      </c>
      <c r="E337" s="44"/>
      <c r="F337" s="44"/>
    </row>
    <row r="338" spans="1:8" ht="15.95" customHeight="1" x14ac:dyDescent="0.25">
      <c r="A338" s="41" t="s">
        <v>329</v>
      </c>
      <c r="B338" s="42" t="s">
        <v>130</v>
      </c>
      <c r="C338" s="40" t="s">
        <v>6</v>
      </c>
      <c r="D338" s="45">
        <v>17.59</v>
      </c>
      <c r="E338" s="44"/>
      <c r="F338" s="44"/>
    </row>
    <row r="339" spans="1:8" ht="15.95" customHeight="1" x14ac:dyDescent="0.25">
      <c r="A339" s="41" t="s">
        <v>330</v>
      </c>
      <c r="B339" s="42" t="s">
        <v>210</v>
      </c>
      <c r="C339" s="40" t="s">
        <v>125</v>
      </c>
      <c r="D339" s="45">
        <v>1</v>
      </c>
      <c r="E339" s="44"/>
      <c r="F339" s="44"/>
    </row>
    <row r="340" spans="1:8" ht="15.95" customHeight="1" x14ac:dyDescent="0.25">
      <c r="A340" s="41" t="s">
        <v>331</v>
      </c>
      <c r="B340" s="42" t="s">
        <v>601</v>
      </c>
      <c r="C340" s="40" t="s">
        <v>125</v>
      </c>
      <c r="D340" s="45">
        <v>1</v>
      </c>
      <c r="E340" s="44"/>
      <c r="F340" s="44"/>
    </row>
    <row r="341" spans="1:8" ht="15.95" customHeight="1" x14ac:dyDescent="0.25">
      <c r="A341" s="41" t="s">
        <v>332</v>
      </c>
      <c r="B341" s="42" t="s">
        <v>455</v>
      </c>
      <c r="C341" s="40" t="s">
        <v>125</v>
      </c>
      <c r="D341" s="45">
        <v>1</v>
      </c>
      <c r="E341" s="44"/>
      <c r="F341" s="44"/>
    </row>
    <row r="342" spans="1:8" ht="15.95" customHeight="1" x14ac:dyDescent="0.25">
      <c r="A342" s="41" t="s">
        <v>333</v>
      </c>
      <c r="B342" s="42" t="s">
        <v>117</v>
      </c>
      <c r="C342" s="40" t="s">
        <v>6</v>
      </c>
      <c r="D342" s="45">
        <f>2.92*0.44+0.65*0.65</f>
        <v>1.7073</v>
      </c>
      <c r="E342" s="44"/>
      <c r="F342" s="44"/>
    </row>
    <row r="343" spans="1:8" ht="15.95" customHeight="1" x14ac:dyDescent="0.25">
      <c r="A343" s="41" t="s">
        <v>334</v>
      </c>
      <c r="B343" s="42" t="s">
        <v>599</v>
      </c>
      <c r="C343" s="40" t="s">
        <v>6</v>
      </c>
      <c r="D343" s="45">
        <f>+D342</f>
        <v>1.7073</v>
      </c>
      <c r="E343" s="44"/>
      <c r="F343" s="44"/>
    </row>
    <row r="344" spans="1:8" ht="15.95" customHeight="1" x14ac:dyDescent="0.25">
      <c r="A344" s="41" t="s">
        <v>335</v>
      </c>
      <c r="B344" s="76" t="s">
        <v>632</v>
      </c>
      <c r="C344" s="77" t="s">
        <v>126</v>
      </c>
      <c r="D344" s="78">
        <f>2*17.49</f>
        <v>34.979999999999997</v>
      </c>
      <c r="E344" s="79"/>
      <c r="F344" s="44"/>
    </row>
    <row r="345" spans="1:8" ht="15.95" customHeight="1" x14ac:dyDescent="0.25">
      <c r="A345" s="41" t="s">
        <v>336</v>
      </c>
      <c r="B345" s="76" t="s">
        <v>633</v>
      </c>
      <c r="C345" s="77" t="s">
        <v>125</v>
      </c>
      <c r="D345" s="78">
        <v>3</v>
      </c>
      <c r="E345" s="79"/>
      <c r="F345" s="44"/>
    </row>
    <row r="346" spans="1:8" ht="15.95" customHeight="1" x14ac:dyDescent="0.25">
      <c r="A346" s="41" t="s">
        <v>531</v>
      </c>
      <c r="B346" s="76" t="s">
        <v>634</v>
      </c>
      <c r="C346" s="77" t="s">
        <v>125</v>
      </c>
      <c r="D346" s="78">
        <v>1</v>
      </c>
      <c r="E346" s="79"/>
      <c r="F346" s="44"/>
    </row>
    <row r="347" spans="1:8" ht="15.95" customHeight="1" x14ac:dyDescent="0.25">
      <c r="A347" s="41" t="s">
        <v>650</v>
      </c>
      <c r="B347" s="42" t="s">
        <v>610</v>
      </c>
      <c r="C347" s="40" t="s">
        <v>125</v>
      </c>
      <c r="D347" s="45">
        <v>3</v>
      </c>
      <c r="E347" s="44"/>
      <c r="F347" s="44"/>
    </row>
    <row r="348" spans="1:8" ht="15.95" customHeight="1" x14ac:dyDescent="0.25">
      <c r="A348" s="41" t="s">
        <v>651</v>
      </c>
      <c r="B348" s="42" t="s">
        <v>600</v>
      </c>
      <c r="C348" s="40" t="s">
        <v>6</v>
      </c>
      <c r="D348" s="45">
        <f>+D343</f>
        <v>1.7073</v>
      </c>
      <c r="E348" s="44"/>
      <c r="F348" s="44"/>
    </row>
    <row r="349" spans="1:8" ht="15.95" customHeight="1" thickBot="1" x14ac:dyDescent="0.3">
      <c r="A349" s="41" t="s">
        <v>652</v>
      </c>
      <c r="B349" s="42" t="s">
        <v>464</v>
      </c>
      <c r="C349" s="40" t="s">
        <v>6</v>
      </c>
      <c r="D349" s="45">
        <f>0.6*0.6</f>
        <v>0.36</v>
      </c>
      <c r="E349" s="44"/>
      <c r="F349" s="44"/>
    </row>
    <row r="350" spans="1:8" ht="15.95" customHeight="1" thickBot="1" x14ac:dyDescent="0.3">
      <c r="A350" s="53" t="s">
        <v>338</v>
      </c>
      <c r="B350" s="54" t="s">
        <v>337</v>
      </c>
      <c r="C350" s="55"/>
      <c r="D350" s="63"/>
      <c r="E350" s="64"/>
      <c r="F350" s="109"/>
      <c r="H350" s="84">
        <f>SUM(F351:F370)</f>
        <v>0</v>
      </c>
    </row>
    <row r="351" spans="1:8" ht="15.95" customHeight="1" x14ac:dyDescent="0.25">
      <c r="A351" s="108" t="s">
        <v>339</v>
      </c>
      <c r="B351" s="42" t="s">
        <v>129</v>
      </c>
      <c r="C351" s="40" t="s">
        <v>6</v>
      </c>
      <c r="D351" s="45">
        <f>9.7*2.6-2-D356</f>
        <v>22.22</v>
      </c>
      <c r="E351" s="44"/>
      <c r="F351" s="44"/>
    </row>
    <row r="352" spans="1:8" ht="15.95" customHeight="1" x14ac:dyDescent="0.25">
      <c r="A352" s="108" t="s">
        <v>340</v>
      </c>
      <c r="B352" s="42" t="s">
        <v>130</v>
      </c>
      <c r="C352" s="40" t="s">
        <v>6</v>
      </c>
      <c r="D352" s="45">
        <v>3.74</v>
      </c>
      <c r="E352" s="44"/>
      <c r="F352" s="44"/>
    </row>
    <row r="353" spans="1:6" ht="15.95" customHeight="1" x14ac:dyDescent="0.25">
      <c r="A353" s="108" t="s">
        <v>341</v>
      </c>
      <c r="B353" s="42" t="s">
        <v>209</v>
      </c>
      <c r="C353" s="40" t="s">
        <v>125</v>
      </c>
      <c r="D353" s="45">
        <v>1</v>
      </c>
      <c r="E353" s="44"/>
      <c r="F353" s="44"/>
    </row>
    <row r="354" spans="1:6" ht="15.95" customHeight="1" x14ac:dyDescent="0.25">
      <c r="A354" s="108" t="s">
        <v>342</v>
      </c>
      <c r="B354" s="42" t="s">
        <v>237</v>
      </c>
      <c r="C354" s="40" t="s">
        <v>125</v>
      </c>
      <c r="D354" s="45">
        <v>1</v>
      </c>
      <c r="E354" s="44"/>
      <c r="F354" s="44"/>
    </row>
    <row r="355" spans="1:6" ht="15.95" customHeight="1" x14ac:dyDescent="0.25">
      <c r="A355" s="108" t="s">
        <v>343</v>
      </c>
      <c r="B355" s="42" t="s">
        <v>210</v>
      </c>
      <c r="C355" s="40" t="s">
        <v>125</v>
      </c>
      <c r="D355" s="45">
        <v>1</v>
      </c>
      <c r="E355" s="44"/>
      <c r="F355" s="44"/>
    </row>
    <row r="356" spans="1:6" ht="15.95" customHeight="1" x14ac:dyDescent="0.25">
      <c r="A356" s="108" t="s">
        <v>344</v>
      </c>
      <c r="B356" s="42" t="s">
        <v>601</v>
      </c>
      <c r="C356" s="40" t="s">
        <v>125</v>
      </c>
      <c r="D356" s="45">
        <v>1</v>
      </c>
      <c r="E356" s="44"/>
      <c r="F356" s="44"/>
    </row>
    <row r="357" spans="1:6" ht="15.95" customHeight="1" x14ac:dyDescent="0.25">
      <c r="A357" s="108" t="s">
        <v>293</v>
      </c>
      <c r="B357" s="42" t="s">
        <v>455</v>
      </c>
      <c r="C357" s="40" t="s">
        <v>125</v>
      </c>
      <c r="D357" s="45">
        <v>1</v>
      </c>
      <c r="E357" s="44"/>
      <c r="F357" s="44"/>
    </row>
    <row r="358" spans="1:6" ht="15.95" customHeight="1" x14ac:dyDescent="0.25">
      <c r="A358" s="108" t="s">
        <v>345</v>
      </c>
      <c r="B358" s="42" t="s">
        <v>281</v>
      </c>
      <c r="C358" s="40" t="s">
        <v>6</v>
      </c>
      <c r="D358" s="45">
        <f>0.4*0.6</f>
        <v>0.24</v>
      </c>
      <c r="E358" s="44"/>
      <c r="F358" s="44"/>
    </row>
    <row r="359" spans="1:6" ht="15.95" customHeight="1" x14ac:dyDescent="0.25">
      <c r="A359" s="108" t="s">
        <v>346</v>
      </c>
      <c r="B359" s="105" t="s">
        <v>632</v>
      </c>
      <c r="C359" s="77" t="s">
        <v>126</v>
      </c>
      <c r="D359" s="78">
        <f>8.14*2</f>
        <v>16.28</v>
      </c>
      <c r="E359" s="79"/>
      <c r="F359" s="44"/>
    </row>
    <row r="360" spans="1:6" ht="15.95" customHeight="1" x14ac:dyDescent="0.25">
      <c r="A360" s="108" t="s">
        <v>347</v>
      </c>
      <c r="B360" s="105" t="s">
        <v>634</v>
      </c>
      <c r="C360" s="77" t="s">
        <v>125</v>
      </c>
      <c r="D360" s="78">
        <v>1</v>
      </c>
      <c r="E360" s="79"/>
      <c r="F360" s="44"/>
    </row>
    <row r="361" spans="1:6" ht="15.95" customHeight="1" x14ac:dyDescent="0.25">
      <c r="A361" s="108" t="s">
        <v>348</v>
      </c>
      <c r="B361" s="42" t="s">
        <v>610</v>
      </c>
      <c r="C361" s="40" t="s">
        <v>125</v>
      </c>
      <c r="D361" s="45">
        <v>1</v>
      </c>
      <c r="E361" s="44"/>
      <c r="F361" s="44"/>
    </row>
    <row r="362" spans="1:6" ht="15.95" customHeight="1" x14ac:dyDescent="0.25">
      <c r="A362" s="108" t="s">
        <v>349</v>
      </c>
      <c r="B362" s="42" t="s">
        <v>117</v>
      </c>
      <c r="C362" s="40" t="s">
        <v>6</v>
      </c>
      <c r="D362" s="45">
        <f>2.92*0.44+0.65*0.65</f>
        <v>1.7073</v>
      </c>
      <c r="E362" s="44"/>
      <c r="F362" s="44"/>
    </row>
    <row r="363" spans="1:6" ht="15.95" customHeight="1" x14ac:dyDescent="0.25">
      <c r="A363" s="108" t="s">
        <v>486</v>
      </c>
      <c r="B363" s="42" t="s">
        <v>599</v>
      </c>
      <c r="C363" s="40" t="s">
        <v>6</v>
      </c>
      <c r="D363" s="45">
        <f>+D362</f>
        <v>1.7073</v>
      </c>
      <c r="E363" s="44"/>
      <c r="F363" s="44"/>
    </row>
    <row r="364" spans="1:6" ht="15.95" customHeight="1" x14ac:dyDescent="0.25">
      <c r="A364" s="108" t="s">
        <v>487</v>
      </c>
      <c r="B364" s="42" t="s">
        <v>600</v>
      </c>
      <c r="C364" s="40" t="s">
        <v>6</v>
      </c>
      <c r="D364" s="45">
        <f>+D363</f>
        <v>1.7073</v>
      </c>
      <c r="E364" s="44"/>
      <c r="F364" s="44"/>
    </row>
    <row r="365" spans="1:6" ht="15.95" customHeight="1" x14ac:dyDescent="0.25">
      <c r="A365" s="108" t="s">
        <v>579</v>
      </c>
      <c r="B365" s="42" t="s">
        <v>485</v>
      </c>
      <c r="C365" s="40" t="s">
        <v>125</v>
      </c>
      <c r="D365" s="45">
        <v>1</v>
      </c>
      <c r="E365" s="44"/>
      <c r="F365" s="44"/>
    </row>
    <row r="366" spans="1:6" ht="15.95" customHeight="1" x14ac:dyDescent="0.25">
      <c r="A366" s="108" t="s">
        <v>580</v>
      </c>
      <c r="B366" s="105" t="s">
        <v>611</v>
      </c>
      <c r="C366" s="77" t="s">
        <v>125</v>
      </c>
      <c r="D366" s="78">
        <v>1</v>
      </c>
      <c r="E366" s="79"/>
      <c r="F366" s="44"/>
    </row>
    <row r="367" spans="1:6" ht="15.95" customHeight="1" x14ac:dyDescent="0.25">
      <c r="A367" s="108" t="s">
        <v>581</v>
      </c>
      <c r="B367" s="106" t="s">
        <v>551</v>
      </c>
      <c r="C367" s="77" t="s">
        <v>125</v>
      </c>
      <c r="D367" s="81">
        <v>1</v>
      </c>
      <c r="E367" s="79"/>
      <c r="F367" s="44"/>
    </row>
    <row r="368" spans="1:6" ht="15.95" customHeight="1" x14ac:dyDescent="0.25">
      <c r="A368" s="108" t="s">
        <v>582</v>
      </c>
      <c r="B368" s="106" t="s">
        <v>552</v>
      </c>
      <c r="C368" s="77" t="s">
        <v>125</v>
      </c>
      <c r="D368" s="81">
        <v>1</v>
      </c>
      <c r="E368" s="79"/>
      <c r="F368" s="44"/>
    </row>
    <row r="369" spans="1:8" ht="15.95" customHeight="1" x14ac:dyDescent="0.25">
      <c r="A369" s="108" t="s">
        <v>653</v>
      </c>
      <c r="B369" s="85" t="s">
        <v>608</v>
      </c>
      <c r="C369" s="77" t="s">
        <v>125</v>
      </c>
      <c r="D369" s="81">
        <v>1</v>
      </c>
      <c r="E369" s="44"/>
      <c r="F369" s="44"/>
    </row>
    <row r="370" spans="1:8" ht="15.95" customHeight="1" thickBot="1" x14ac:dyDescent="0.3">
      <c r="A370" s="108" t="s">
        <v>654</v>
      </c>
      <c r="B370" s="107" t="s">
        <v>554</v>
      </c>
      <c r="C370" s="40" t="s">
        <v>6</v>
      </c>
      <c r="D370" s="86">
        <v>2.25</v>
      </c>
      <c r="E370" s="80"/>
      <c r="F370" s="44"/>
    </row>
    <row r="371" spans="1:8" ht="15.95" customHeight="1" thickBot="1" x14ac:dyDescent="0.3">
      <c r="A371" s="53" t="s">
        <v>350</v>
      </c>
      <c r="B371" s="54" t="s">
        <v>450</v>
      </c>
      <c r="C371" s="55"/>
      <c r="D371" s="63"/>
      <c r="E371" s="57"/>
      <c r="F371" s="58"/>
      <c r="H371" s="84">
        <f>SUM(F372:F381)</f>
        <v>0</v>
      </c>
    </row>
    <row r="372" spans="1:8" ht="15.95" customHeight="1" x14ac:dyDescent="0.25">
      <c r="A372" s="41" t="s">
        <v>351</v>
      </c>
      <c r="B372" s="42" t="s">
        <v>129</v>
      </c>
      <c r="C372" s="40" t="s">
        <v>6</v>
      </c>
      <c r="D372" s="45">
        <f>21.46*2.6-2-D375</f>
        <v>50.803900000000006</v>
      </c>
      <c r="E372" s="44"/>
      <c r="F372" s="44"/>
    </row>
    <row r="373" spans="1:8" ht="15.95" customHeight="1" x14ac:dyDescent="0.25">
      <c r="A373" s="41" t="s">
        <v>352</v>
      </c>
      <c r="B373" s="42" t="s">
        <v>130</v>
      </c>
      <c r="C373" s="40" t="s">
        <v>6</v>
      </c>
      <c r="D373" s="45">
        <v>12.09</v>
      </c>
      <c r="E373" s="44"/>
      <c r="F373" s="44"/>
    </row>
    <row r="374" spans="1:8" ht="15.95" customHeight="1" x14ac:dyDescent="0.25">
      <c r="A374" s="41" t="s">
        <v>353</v>
      </c>
      <c r="B374" s="42" t="s">
        <v>455</v>
      </c>
      <c r="C374" s="40" t="s">
        <v>125</v>
      </c>
      <c r="D374" s="45">
        <v>2</v>
      </c>
      <c r="E374" s="44"/>
      <c r="F374" s="44"/>
    </row>
    <row r="375" spans="1:8" ht="15.95" customHeight="1" x14ac:dyDescent="0.25">
      <c r="A375" s="41" t="s">
        <v>354</v>
      </c>
      <c r="B375" s="42" t="s">
        <v>117</v>
      </c>
      <c r="C375" s="40" t="s">
        <v>6</v>
      </c>
      <c r="D375" s="45">
        <f>2.92*0.44*2+0.65*0.65</f>
        <v>2.9920999999999998</v>
      </c>
      <c r="E375" s="44"/>
      <c r="F375" s="44"/>
    </row>
    <row r="376" spans="1:8" ht="15.95" customHeight="1" x14ac:dyDescent="0.25">
      <c r="A376" s="41" t="s">
        <v>355</v>
      </c>
      <c r="B376" s="42" t="s">
        <v>599</v>
      </c>
      <c r="C376" s="40" t="s">
        <v>6</v>
      </c>
      <c r="D376" s="45">
        <f>+D375</f>
        <v>2.9920999999999998</v>
      </c>
      <c r="E376" s="44"/>
      <c r="F376" s="44"/>
    </row>
    <row r="377" spans="1:8" ht="15.95" customHeight="1" x14ac:dyDescent="0.25">
      <c r="A377" s="41" t="s">
        <v>356</v>
      </c>
      <c r="B377" s="105" t="s">
        <v>632</v>
      </c>
      <c r="C377" s="77" t="s">
        <v>126</v>
      </c>
      <c r="D377" s="78">
        <f>15*2</f>
        <v>30</v>
      </c>
      <c r="E377" s="79"/>
      <c r="F377" s="44"/>
    </row>
    <row r="378" spans="1:8" ht="15.95" customHeight="1" x14ac:dyDescent="0.25">
      <c r="A378" s="41" t="s">
        <v>449</v>
      </c>
      <c r="B378" s="105" t="s">
        <v>633</v>
      </c>
      <c r="C378" s="77" t="s">
        <v>125</v>
      </c>
      <c r="D378" s="78">
        <v>4</v>
      </c>
      <c r="E378" s="79"/>
      <c r="F378" s="44"/>
    </row>
    <row r="379" spans="1:8" ht="15.95" customHeight="1" x14ac:dyDescent="0.25">
      <c r="A379" s="41" t="s">
        <v>655</v>
      </c>
      <c r="B379" s="105" t="s">
        <v>634</v>
      </c>
      <c r="C379" s="77" t="s">
        <v>125</v>
      </c>
      <c r="D379" s="78">
        <v>1</v>
      </c>
      <c r="E379" s="79"/>
      <c r="F379" s="44"/>
    </row>
    <row r="380" spans="1:8" ht="15.95" customHeight="1" x14ac:dyDescent="0.25">
      <c r="A380" s="41" t="s">
        <v>656</v>
      </c>
      <c r="B380" s="42" t="s">
        <v>610</v>
      </c>
      <c r="C380" s="40" t="s">
        <v>125</v>
      </c>
      <c r="D380" s="45">
        <v>3</v>
      </c>
      <c r="E380" s="44"/>
      <c r="F380" s="44"/>
    </row>
    <row r="381" spans="1:8" ht="15.95" customHeight="1" thickBot="1" x14ac:dyDescent="0.3">
      <c r="A381" s="41" t="s">
        <v>657</v>
      </c>
      <c r="B381" s="42" t="s">
        <v>600</v>
      </c>
      <c r="C381" s="40" t="s">
        <v>6</v>
      </c>
      <c r="D381" s="45">
        <f>+D376</f>
        <v>2.9920999999999998</v>
      </c>
      <c r="E381" s="44"/>
      <c r="F381" s="44"/>
    </row>
    <row r="382" spans="1:8" ht="15.95" customHeight="1" thickBot="1" x14ac:dyDescent="0.3">
      <c r="A382" s="99" t="s">
        <v>357</v>
      </c>
      <c r="B382" s="54" t="s">
        <v>153</v>
      </c>
      <c r="C382" s="55"/>
      <c r="D382" s="63"/>
      <c r="E382" s="57"/>
      <c r="F382" s="57"/>
      <c r="H382" s="84">
        <f>SUM(F383:F393)</f>
        <v>0</v>
      </c>
    </row>
    <row r="383" spans="1:8" ht="15.95" customHeight="1" x14ac:dyDescent="0.25">
      <c r="A383" s="41" t="s">
        <v>358</v>
      </c>
      <c r="B383" s="42" t="s">
        <v>129</v>
      </c>
      <c r="C383" s="40" t="s">
        <v>6</v>
      </c>
      <c r="D383" s="45">
        <f>21.64*2.6-2-D386</f>
        <v>50.409600000000005</v>
      </c>
      <c r="E383" s="44"/>
      <c r="F383" s="44"/>
    </row>
    <row r="384" spans="1:8" ht="15.95" customHeight="1" x14ac:dyDescent="0.25">
      <c r="A384" s="41" t="s">
        <v>359</v>
      </c>
      <c r="B384" s="42" t="s">
        <v>130</v>
      </c>
      <c r="C384" s="40" t="s">
        <v>6</v>
      </c>
      <c r="D384" s="45">
        <v>12.09</v>
      </c>
      <c r="E384" s="44"/>
      <c r="F384" s="44"/>
    </row>
    <row r="385" spans="1:8" ht="15.95" customHeight="1" x14ac:dyDescent="0.25">
      <c r="A385" s="41" t="s">
        <v>360</v>
      </c>
      <c r="B385" s="42" t="s">
        <v>455</v>
      </c>
      <c r="C385" s="40" t="s">
        <v>125</v>
      </c>
      <c r="D385" s="45">
        <v>2</v>
      </c>
      <c r="E385" s="44"/>
      <c r="F385" s="44"/>
    </row>
    <row r="386" spans="1:8" ht="15.95" customHeight="1" x14ac:dyDescent="0.25">
      <c r="A386" s="41" t="s">
        <v>361</v>
      </c>
      <c r="B386" s="42" t="s">
        <v>117</v>
      </c>
      <c r="C386" s="40" t="s">
        <v>6</v>
      </c>
      <c r="D386" s="45">
        <f>3*0.44*2*1.46</f>
        <v>3.8544</v>
      </c>
      <c r="E386" s="44"/>
      <c r="F386" s="44"/>
    </row>
    <row r="387" spans="1:8" ht="15.95" customHeight="1" x14ac:dyDescent="0.25">
      <c r="A387" s="41" t="s">
        <v>362</v>
      </c>
      <c r="B387" s="42" t="s">
        <v>599</v>
      </c>
      <c r="C387" s="40" t="s">
        <v>6</v>
      </c>
      <c r="D387" s="45">
        <f>+D386</f>
        <v>3.8544</v>
      </c>
      <c r="E387" s="44"/>
      <c r="F387" s="44"/>
    </row>
    <row r="388" spans="1:8" ht="15.95" customHeight="1" x14ac:dyDescent="0.25">
      <c r="A388" s="41" t="s">
        <v>363</v>
      </c>
      <c r="B388" s="105" t="s">
        <v>632</v>
      </c>
      <c r="C388" s="77" t="s">
        <v>126</v>
      </c>
      <c r="D388" s="78">
        <f>21.64*2</f>
        <v>43.28</v>
      </c>
      <c r="E388" s="79"/>
      <c r="F388" s="44"/>
    </row>
    <row r="389" spans="1:8" ht="15.95" customHeight="1" x14ac:dyDescent="0.25">
      <c r="A389" s="41" t="s">
        <v>364</v>
      </c>
      <c r="B389" s="105" t="s">
        <v>633</v>
      </c>
      <c r="C389" s="77" t="s">
        <v>125</v>
      </c>
      <c r="D389" s="78">
        <v>1</v>
      </c>
      <c r="E389" s="79"/>
      <c r="F389" s="44"/>
    </row>
    <row r="390" spans="1:8" ht="15.95" customHeight="1" x14ac:dyDescent="0.25">
      <c r="A390" s="41" t="s">
        <v>616</v>
      </c>
      <c r="B390" s="105" t="s">
        <v>634</v>
      </c>
      <c r="C390" s="77" t="s">
        <v>125</v>
      </c>
      <c r="D390" s="78">
        <v>1</v>
      </c>
      <c r="E390" s="79"/>
      <c r="F390" s="44"/>
    </row>
    <row r="391" spans="1:8" ht="15.95" customHeight="1" x14ac:dyDescent="0.25">
      <c r="A391" s="41" t="s">
        <v>658</v>
      </c>
      <c r="B391" s="42" t="s">
        <v>610</v>
      </c>
      <c r="C391" s="40" t="s">
        <v>125</v>
      </c>
      <c r="D391" s="45">
        <v>3</v>
      </c>
      <c r="E391" s="44"/>
      <c r="F391" s="44"/>
    </row>
    <row r="392" spans="1:8" ht="15.95" customHeight="1" x14ac:dyDescent="0.25">
      <c r="A392" s="41" t="s">
        <v>659</v>
      </c>
      <c r="B392" s="42" t="s">
        <v>600</v>
      </c>
      <c r="C392" s="40" t="s">
        <v>6</v>
      </c>
      <c r="D392" s="45">
        <v>22.46</v>
      </c>
      <c r="E392" s="44"/>
      <c r="F392" s="44"/>
    </row>
    <row r="393" spans="1:8" ht="15.95" customHeight="1" thickBot="1" x14ac:dyDescent="0.3">
      <c r="A393" s="41" t="s">
        <v>660</v>
      </c>
      <c r="B393" s="42" t="s">
        <v>614</v>
      </c>
      <c r="C393" s="40" t="s">
        <v>126</v>
      </c>
      <c r="D393" s="43">
        <v>18</v>
      </c>
      <c r="E393" s="44"/>
      <c r="F393" s="44"/>
    </row>
    <row r="394" spans="1:8" ht="15.95" customHeight="1" thickBot="1" x14ac:dyDescent="0.3">
      <c r="A394" s="99" t="s">
        <v>409</v>
      </c>
      <c r="B394" s="54" t="s">
        <v>532</v>
      </c>
      <c r="C394" s="55"/>
      <c r="D394" s="63"/>
      <c r="E394" s="57"/>
      <c r="F394" s="57"/>
      <c r="H394" s="84">
        <f>SUM(F395:F414)</f>
        <v>0</v>
      </c>
    </row>
    <row r="395" spans="1:8" ht="15.95" customHeight="1" x14ac:dyDescent="0.25">
      <c r="A395" s="41" t="s">
        <v>410</v>
      </c>
      <c r="B395" s="42" t="s">
        <v>464</v>
      </c>
      <c r="C395" s="40" t="s">
        <v>6</v>
      </c>
      <c r="D395" s="45">
        <f>18*2.6</f>
        <v>46.800000000000004</v>
      </c>
      <c r="E395" s="44"/>
      <c r="F395" s="44"/>
    </row>
    <row r="396" spans="1:8" ht="15.95" customHeight="1" x14ac:dyDescent="0.25">
      <c r="A396" s="41" t="s">
        <v>411</v>
      </c>
      <c r="B396" s="42" t="s">
        <v>464</v>
      </c>
      <c r="C396" s="40" t="s">
        <v>6</v>
      </c>
      <c r="D396" s="45">
        <v>16.5</v>
      </c>
      <c r="E396" s="44"/>
      <c r="F396" s="44"/>
    </row>
    <row r="397" spans="1:8" ht="15.95" customHeight="1" x14ac:dyDescent="0.25">
      <c r="A397" s="41" t="s">
        <v>412</v>
      </c>
      <c r="B397" s="42" t="s">
        <v>612</v>
      </c>
      <c r="C397" s="40" t="s">
        <v>6</v>
      </c>
      <c r="D397" s="45">
        <f>+D395</f>
        <v>46.800000000000004</v>
      </c>
      <c r="E397" s="44"/>
      <c r="F397" s="44"/>
    </row>
    <row r="398" spans="1:8" ht="15.95" customHeight="1" x14ac:dyDescent="0.25">
      <c r="A398" s="41" t="s">
        <v>454</v>
      </c>
      <c r="B398" s="42" t="s">
        <v>130</v>
      </c>
      <c r="C398" s="40" t="s">
        <v>6</v>
      </c>
      <c r="D398" s="45">
        <f>3*6</f>
        <v>18</v>
      </c>
      <c r="E398" s="44"/>
      <c r="F398" s="44"/>
    </row>
    <row r="399" spans="1:8" ht="15.95" customHeight="1" x14ac:dyDescent="0.25">
      <c r="A399" s="41" t="s">
        <v>456</v>
      </c>
      <c r="B399" s="42" t="s">
        <v>455</v>
      </c>
      <c r="C399" s="40" t="s">
        <v>125</v>
      </c>
      <c r="D399" s="45">
        <v>1</v>
      </c>
      <c r="E399" s="44"/>
      <c r="F399" s="44"/>
    </row>
    <row r="400" spans="1:8" ht="15.95" customHeight="1" x14ac:dyDescent="0.25">
      <c r="A400" s="41" t="s">
        <v>473</v>
      </c>
      <c r="B400" s="42" t="s">
        <v>117</v>
      </c>
      <c r="C400" s="40" t="s">
        <v>6</v>
      </c>
      <c r="D400" s="45">
        <v>1.2</v>
      </c>
      <c r="E400" s="44"/>
      <c r="F400" s="44"/>
    </row>
    <row r="401" spans="1:8" ht="15.95" customHeight="1" x14ac:dyDescent="0.25">
      <c r="A401" s="41" t="s">
        <v>502</v>
      </c>
      <c r="B401" s="42" t="s">
        <v>599</v>
      </c>
      <c r="C401" s="40" t="s">
        <v>6</v>
      </c>
      <c r="D401" s="45">
        <f>+D400</f>
        <v>1.2</v>
      </c>
      <c r="E401" s="44"/>
      <c r="F401" s="44"/>
    </row>
    <row r="402" spans="1:8" ht="15.95" customHeight="1" x14ac:dyDescent="0.25">
      <c r="A402" s="41" t="s">
        <v>503</v>
      </c>
      <c r="B402" s="105" t="s">
        <v>632</v>
      </c>
      <c r="C402" s="77" t="s">
        <v>126</v>
      </c>
      <c r="D402" s="78">
        <f>17.1*2.5</f>
        <v>42.75</v>
      </c>
      <c r="E402" s="79"/>
      <c r="F402" s="44"/>
    </row>
    <row r="403" spans="1:8" ht="15.95" customHeight="1" x14ac:dyDescent="0.25">
      <c r="A403" s="41" t="s">
        <v>504</v>
      </c>
      <c r="B403" s="105" t="s">
        <v>633</v>
      </c>
      <c r="C403" s="77" t="s">
        <v>125</v>
      </c>
      <c r="D403" s="78">
        <v>2</v>
      </c>
      <c r="E403" s="79"/>
      <c r="F403" s="44"/>
    </row>
    <row r="404" spans="1:8" ht="15.95" customHeight="1" x14ac:dyDescent="0.25">
      <c r="A404" s="41" t="s">
        <v>505</v>
      </c>
      <c r="B404" s="105" t="s">
        <v>634</v>
      </c>
      <c r="C404" s="77" t="s">
        <v>125</v>
      </c>
      <c r="D404" s="78">
        <v>1</v>
      </c>
      <c r="E404" s="79"/>
      <c r="F404" s="44"/>
    </row>
    <row r="405" spans="1:8" ht="15.95" customHeight="1" x14ac:dyDescent="0.25">
      <c r="A405" s="41" t="s">
        <v>506</v>
      </c>
      <c r="B405" s="42" t="s">
        <v>610</v>
      </c>
      <c r="C405" s="40" t="s">
        <v>125</v>
      </c>
      <c r="D405" s="45">
        <v>2</v>
      </c>
      <c r="E405" s="44"/>
      <c r="F405" s="44"/>
    </row>
    <row r="406" spans="1:8" ht="15.95" customHeight="1" x14ac:dyDescent="0.25">
      <c r="A406" s="41" t="s">
        <v>507</v>
      </c>
      <c r="B406" s="42" t="s">
        <v>600</v>
      </c>
      <c r="C406" s="40" t="s">
        <v>6</v>
      </c>
      <c r="D406" s="45">
        <v>1.2</v>
      </c>
      <c r="E406" s="44"/>
      <c r="F406" s="44"/>
    </row>
    <row r="407" spans="1:8" ht="15.95" customHeight="1" x14ac:dyDescent="0.25">
      <c r="A407" s="41" t="s">
        <v>508</v>
      </c>
      <c r="B407" s="42" t="s">
        <v>593</v>
      </c>
      <c r="C407" s="40" t="s">
        <v>6</v>
      </c>
      <c r="D407" s="45">
        <f>+D398+1</f>
        <v>19</v>
      </c>
      <c r="E407" s="44"/>
      <c r="F407" s="44"/>
    </row>
    <row r="408" spans="1:8" ht="15.95" customHeight="1" x14ac:dyDescent="0.25">
      <c r="A408" s="41" t="s">
        <v>510</v>
      </c>
      <c r="B408" s="42" t="s">
        <v>602</v>
      </c>
      <c r="C408" s="40" t="s">
        <v>126</v>
      </c>
      <c r="D408" s="43">
        <v>15</v>
      </c>
      <c r="E408" s="44"/>
      <c r="F408" s="44"/>
    </row>
    <row r="409" spans="1:8" ht="15.95" customHeight="1" x14ac:dyDescent="0.25">
      <c r="A409" s="41" t="s">
        <v>534</v>
      </c>
      <c r="B409" s="42" t="s">
        <v>603</v>
      </c>
      <c r="C409" s="40" t="s">
        <v>126</v>
      </c>
      <c r="D409" s="43">
        <v>15</v>
      </c>
      <c r="E409" s="44"/>
      <c r="F409" s="44"/>
    </row>
    <row r="410" spans="1:8" ht="15.95" customHeight="1" x14ac:dyDescent="0.25">
      <c r="A410" s="41" t="s">
        <v>543</v>
      </c>
      <c r="B410" s="42" t="s">
        <v>210</v>
      </c>
      <c r="C410" s="40" t="s">
        <v>125</v>
      </c>
      <c r="D410" s="45">
        <v>1</v>
      </c>
      <c r="E410" s="44"/>
      <c r="F410" s="44"/>
    </row>
    <row r="411" spans="1:8" ht="15.95" customHeight="1" x14ac:dyDescent="0.25">
      <c r="A411" s="41" t="s">
        <v>621</v>
      </c>
      <c r="B411" s="42" t="s">
        <v>601</v>
      </c>
      <c r="C411" s="40" t="s">
        <v>125</v>
      </c>
      <c r="D411" s="45">
        <v>1</v>
      </c>
      <c r="E411" s="44"/>
      <c r="F411" s="44"/>
    </row>
    <row r="412" spans="1:8" ht="15.95" customHeight="1" x14ac:dyDescent="0.25">
      <c r="A412" s="41" t="s">
        <v>661</v>
      </c>
      <c r="B412" s="42" t="s">
        <v>509</v>
      </c>
      <c r="C412" s="40" t="s">
        <v>125</v>
      </c>
      <c r="D412" s="43">
        <v>1</v>
      </c>
      <c r="E412" s="44"/>
      <c r="F412" s="44"/>
    </row>
    <row r="413" spans="1:8" ht="15.95" customHeight="1" x14ac:dyDescent="0.25">
      <c r="A413" s="41" t="s">
        <v>662</v>
      </c>
      <c r="B413" s="42" t="s">
        <v>533</v>
      </c>
      <c r="C413" s="40" t="s">
        <v>125</v>
      </c>
      <c r="D413" s="43">
        <v>1</v>
      </c>
      <c r="E413" s="44"/>
      <c r="F413" s="44"/>
    </row>
    <row r="414" spans="1:8" ht="15.95" customHeight="1" thickBot="1" x14ac:dyDescent="0.3">
      <c r="A414" s="41" t="s">
        <v>720</v>
      </c>
      <c r="B414" s="42" t="s">
        <v>542</v>
      </c>
      <c r="C414" s="40" t="s">
        <v>6</v>
      </c>
      <c r="D414" s="45">
        <f>(9)*2.6</f>
        <v>23.400000000000002</v>
      </c>
      <c r="E414" s="44"/>
      <c r="F414" s="44"/>
    </row>
    <row r="415" spans="1:8" ht="15.95" customHeight="1" thickBot="1" x14ac:dyDescent="0.3">
      <c r="A415" s="99" t="s">
        <v>541</v>
      </c>
      <c r="B415" s="54" t="s">
        <v>415</v>
      </c>
      <c r="C415" s="59"/>
      <c r="D415" s="60"/>
      <c r="E415" s="62"/>
      <c r="F415" s="62"/>
      <c r="H415" s="84">
        <f>SUM(F416:F427)</f>
        <v>0</v>
      </c>
    </row>
    <row r="416" spans="1:8" ht="15.95" customHeight="1" x14ac:dyDescent="0.25">
      <c r="A416" s="41" t="s">
        <v>587</v>
      </c>
      <c r="B416" s="42" t="s">
        <v>129</v>
      </c>
      <c r="C416" s="40" t="s">
        <v>6</v>
      </c>
      <c r="D416" s="45">
        <f>55.14*2.6-2.92*0.47*18</f>
        <v>118.66080000000001</v>
      </c>
      <c r="E416" s="44"/>
      <c r="F416" s="44"/>
    </row>
    <row r="417" spans="1:8" ht="15.95" customHeight="1" x14ac:dyDescent="0.25">
      <c r="A417" s="41" t="s">
        <v>588</v>
      </c>
      <c r="B417" s="42" t="s">
        <v>416</v>
      </c>
      <c r="C417" s="40" t="s">
        <v>6</v>
      </c>
      <c r="D417" s="43">
        <f>1.3*(8.01*22.36)+21</f>
        <v>253.83468000000002</v>
      </c>
      <c r="E417" s="44"/>
      <c r="F417" s="44"/>
    </row>
    <row r="418" spans="1:8" ht="15.95" customHeight="1" x14ac:dyDescent="0.25">
      <c r="A418" s="41" t="s">
        <v>589</v>
      </c>
      <c r="B418" s="42" t="s">
        <v>417</v>
      </c>
      <c r="C418" s="40" t="s">
        <v>6</v>
      </c>
      <c r="D418" s="43">
        <f>+D417</f>
        <v>253.83468000000002</v>
      </c>
      <c r="E418" s="44"/>
      <c r="F418" s="44"/>
    </row>
    <row r="419" spans="1:8" ht="15.95" customHeight="1" x14ac:dyDescent="0.25">
      <c r="A419" s="41" t="s">
        <v>590</v>
      </c>
      <c r="B419" s="42" t="s">
        <v>123</v>
      </c>
      <c r="C419" s="40" t="s">
        <v>6</v>
      </c>
      <c r="D419" s="45">
        <v>56</v>
      </c>
      <c r="E419" s="44"/>
      <c r="F419" s="44"/>
    </row>
    <row r="420" spans="1:8" ht="15.95" customHeight="1" x14ac:dyDescent="0.25">
      <c r="A420" s="41" t="s">
        <v>591</v>
      </c>
      <c r="B420" s="42" t="s">
        <v>623</v>
      </c>
      <c r="C420" s="40" t="s">
        <v>6</v>
      </c>
      <c r="D420" s="43">
        <f>2*2.8*2.6</f>
        <v>14.559999999999999</v>
      </c>
      <c r="E420" s="44"/>
      <c r="F420" s="44"/>
    </row>
    <row r="421" spans="1:8" ht="15.95" customHeight="1" x14ac:dyDescent="0.25">
      <c r="A421" s="41" t="s">
        <v>592</v>
      </c>
      <c r="B421" s="42" t="s">
        <v>624</v>
      </c>
      <c r="C421" s="40" t="s">
        <v>125</v>
      </c>
      <c r="D421" s="43">
        <v>1</v>
      </c>
      <c r="E421" s="44"/>
      <c r="F421" s="44"/>
    </row>
    <row r="422" spans="1:8" ht="15.95" customHeight="1" x14ac:dyDescent="0.25">
      <c r="A422" s="41" t="s">
        <v>724</v>
      </c>
      <c r="B422" s="76" t="s">
        <v>632</v>
      </c>
      <c r="C422" s="77" t="s">
        <v>126</v>
      </c>
      <c r="D422" s="78">
        <f>42.52*1.3</f>
        <v>55.276000000000003</v>
      </c>
      <c r="E422" s="79"/>
      <c r="F422" s="44"/>
    </row>
    <row r="423" spans="1:8" ht="15.95" customHeight="1" x14ac:dyDescent="0.25">
      <c r="A423" s="41" t="s">
        <v>725</v>
      </c>
      <c r="B423" s="42" t="s">
        <v>723</v>
      </c>
      <c r="C423" s="40" t="s">
        <v>125</v>
      </c>
      <c r="D423" s="45">
        <v>8</v>
      </c>
      <c r="E423" s="44"/>
      <c r="F423" s="44"/>
    </row>
    <row r="424" spans="1:8" ht="15.95" customHeight="1" x14ac:dyDescent="0.25">
      <c r="A424" s="41" t="s">
        <v>775</v>
      </c>
      <c r="B424" s="42" t="s">
        <v>774</v>
      </c>
      <c r="C424" s="40" t="s">
        <v>126</v>
      </c>
      <c r="D424" s="43">
        <v>32</v>
      </c>
      <c r="E424" s="44"/>
      <c r="F424" s="44"/>
    </row>
    <row r="425" spans="1:8" ht="15.95" customHeight="1" x14ac:dyDescent="0.25">
      <c r="A425" s="41" t="s">
        <v>776</v>
      </c>
      <c r="B425" s="42" t="s">
        <v>537</v>
      </c>
      <c r="C425" s="40" t="s">
        <v>125</v>
      </c>
      <c r="D425" s="43">
        <v>1</v>
      </c>
      <c r="E425" s="75"/>
      <c r="F425" s="44"/>
    </row>
    <row r="426" spans="1:8" ht="15.95" customHeight="1" x14ac:dyDescent="0.25">
      <c r="A426" s="41" t="s">
        <v>777</v>
      </c>
      <c r="B426" s="42" t="s">
        <v>596</v>
      </c>
      <c r="C426" s="40" t="s">
        <v>125</v>
      </c>
      <c r="D426" s="43">
        <v>2</v>
      </c>
      <c r="E426" s="75"/>
      <c r="F426" s="44"/>
    </row>
    <row r="427" spans="1:8" ht="15.95" customHeight="1" thickBot="1" x14ac:dyDescent="0.3">
      <c r="A427" s="41" t="s">
        <v>778</v>
      </c>
      <c r="B427" s="42" t="s">
        <v>597</v>
      </c>
      <c r="C427" s="40" t="s">
        <v>125</v>
      </c>
      <c r="D427" s="43">
        <v>1</v>
      </c>
      <c r="E427" s="75"/>
      <c r="F427" s="44"/>
    </row>
    <row r="428" spans="1:8" ht="15.95" customHeight="1" thickBot="1" x14ac:dyDescent="0.3">
      <c r="A428" s="99" t="s">
        <v>49</v>
      </c>
      <c r="B428" s="54" t="s">
        <v>474</v>
      </c>
      <c r="C428" s="55"/>
      <c r="D428" s="63"/>
      <c r="E428" s="57"/>
      <c r="F428" s="57"/>
      <c r="H428" s="84">
        <f>SUM(H429:H543)</f>
        <v>0</v>
      </c>
    </row>
    <row r="429" spans="1:8" ht="15.95" customHeight="1" thickBot="1" x14ac:dyDescent="0.3">
      <c r="A429" s="99" t="s">
        <v>50</v>
      </c>
      <c r="B429" s="54" t="s">
        <v>490</v>
      </c>
      <c r="C429" s="55"/>
      <c r="D429" s="63"/>
      <c r="E429" s="57"/>
      <c r="F429" s="57"/>
      <c r="H429" s="84">
        <f>SUM(F430:F444)</f>
        <v>0</v>
      </c>
    </row>
    <row r="430" spans="1:8" ht="15.95" customHeight="1" x14ac:dyDescent="0.25">
      <c r="A430" s="41" t="s">
        <v>84</v>
      </c>
      <c r="B430" s="42" t="s">
        <v>383</v>
      </c>
      <c r="C430" s="40" t="s">
        <v>6</v>
      </c>
      <c r="D430" s="45">
        <f>2*11.95</f>
        <v>23.9</v>
      </c>
      <c r="E430" s="44"/>
      <c r="F430" s="44"/>
    </row>
    <row r="431" spans="1:8" ht="15.95" customHeight="1" x14ac:dyDescent="0.25">
      <c r="A431" s="41" t="s">
        <v>85</v>
      </c>
      <c r="B431" s="42" t="s">
        <v>593</v>
      </c>
      <c r="C431" s="40" t="s">
        <v>6</v>
      </c>
      <c r="D431" s="45">
        <f>(+D430+1.404)*2</f>
        <v>50.607999999999997</v>
      </c>
      <c r="E431" s="44"/>
      <c r="F431" s="44"/>
    </row>
    <row r="432" spans="1:8" ht="15.95" customHeight="1" x14ac:dyDescent="0.25">
      <c r="A432" s="41" t="s">
        <v>86</v>
      </c>
      <c r="B432" s="42" t="s">
        <v>129</v>
      </c>
      <c r="C432" s="40" t="s">
        <v>6</v>
      </c>
      <c r="D432" s="45">
        <f>2*(14.04*2.8-2-D438)</f>
        <v>52.12</v>
      </c>
      <c r="E432" s="44"/>
      <c r="F432" s="44"/>
    </row>
    <row r="433" spans="1:8" ht="15.95" customHeight="1" x14ac:dyDescent="0.25">
      <c r="A433" s="41" t="s">
        <v>87</v>
      </c>
      <c r="B433" s="42" t="s">
        <v>130</v>
      </c>
      <c r="C433" s="40" t="s">
        <v>6</v>
      </c>
      <c r="D433" s="45">
        <f>+D430*2</f>
        <v>47.8</v>
      </c>
      <c r="E433" s="44"/>
      <c r="F433" s="44"/>
    </row>
    <row r="434" spans="1:8" ht="15.95" customHeight="1" x14ac:dyDescent="0.25">
      <c r="A434" s="41" t="s">
        <v>88</v>
      </c>
      <c r="B434" s="42" t="s">
        <v>323</v>
      </c>
      <c r="C434" s="40" t="s">
        <v>125</v>
      </c>
      <c r="D434" s="45">
        <v>1</v>
      </c>
      <c r="E434" s="44"/>
      <c r="F434" s="44"/>
    </row>
    <row r="435" spans="1:8" ht="15.95" customHeight="1" x14ac:dyDescent="0.25">
      <c r="A435" s="41" t="s">
        <v>89</v>
      </c>
      <c r="B435" s="42" t="s">
        <v>492</v>
      </c>
      <c r="C435" s="40" t="s">
        <v>125</v>
      </c>
      <c r="D435" s="45">
        <v>1</v>
      </c>
      <c r="E435" s="44"/>
      <c r="F435" s="44"/>
    </row>
    <row r="436" spans="1:8" ht="15.95" customHeight="1" x14ac:dyDescent="0.25">
      <c r="A436" s="41" t="s">
        <v>100</v>
      </c>
      <c r="B436" s="42" t="s">
        <v>455</v>
      </c>
      <c r="C436" s="40" t="s">
        <v>125</v>
      </c>
      <c r="D436" s="45">
        <v>1</v>
      </c>
      <c r="E436" s="44"/>
      <c r="F436" s="44"/>
    </row>
    <row r="437" spans="1:8" ht="15.95" customHeight="1" x14ac:dyDescent="0.25">
      <c r="A437" s="41" t="s">
        <v>101</v>
      </c>
      <c r="B437" s="42" t="s">
        <v>117</v>
      </c>
      <c r="C437" s="40" t="s">
        <v>6</v>
      </c>
      <c r="D437" s="45">
        <f>(2.9*1.42+0.52*2.9)*2</f>
        <v>11.251999999999999</v>
      </c>
      <c r="E437" s="44"/>
      <c r="F437" s="44"/>
    </row>
    <row r="438" spans="1:8" ht="15.95" customHeight="1" x14ac:dyDescent="0.25">
      <c r="A438" s="41" t="s">
        <v>102</v>
      </c>
      <c r="B438" s="42" t="s">
        <v>599</v>
      </c>
      <c r="C438" s="40" t="s">
        <v>6</v>
      </c>
      <c r="D438" s="45">
        <f>+D437</f>
        <v>11.251999999999999</v>
      </c>
      <c r="E438" s="44"/>
      <c r="F438" s="44"/>
    </row>
    <row r="439" spans="1:8" ht="15.95" customHeight="1" x14ac:dyDescent="0.25">
      <c r="A439" s="41" t="s">
        <v>380</v>
      </c>
      <c r="B439" s="105" t="s">
        <v>632</v>
      </c>
      <c r="C439" s="77" t="s">
        <v>126</v>
      </c>
      <c r="D439" s="78">
        <f>20.04*2</f>
        <v>40.08</v>
      </c>
      <c r="E439" s="79"/>
      <c r="F439" s="44"/>
    </row>
    <row r="440" spans="1:8" ht="15.95" customHeight="1" x14ac:dyDescent="0.25">
      <c r="A440" s="41" t="s">
        <v>457</v>
      </c>
      <c r="B440" s="105" t="s">
        <v>633</v>
      </c>
      <c r="C440" s="77" t="s">
        <v>125</v>
      </c>
      <c r="D440" s="78">
        <v>3</v>
      </c>
      <c r="E440" s="79"/>
      <c r="F440" s="44"/>
    </row>
    <row r="441" spans="1:8" ht="15.95" customHeight="1" x14ac:dyDescent="0.25">
      <c r="A441" s="41" t="s">
        <v>501</v>
      </c>
      <c r="B441" s="105" t="s">
        <v>634</v>
      </c>
      <c r="C441" s="77" t="s">
        <v>125</v>
      </c>
      <c r="D441" s="78">
        <v>1</v>
      </c>
      <c r="E441" s="79"/>
      <c r="F441" s="44"/>
    </row>
    <row r="442" spans="1:8" ht="15.95" customHeight="1" x14ac:dyDescent="0.25">
      <c r="A442" s="41" t="s">
        <v>663</v>
      </c>
      <c r="B442" s="42" t="s">
        <v>610</v>
      </c>
      <c r="C442" s="40" t="s">
        <v>125</v>
      </c>
      <c r="D442" s="45">
        <v>6</v>
      </c>
      <c r="E442" s="44"/>
      <c r="F442" s="44"/>
    </row>
    <row r="443" spans="1:8" ht="15.95" customHeight="1" x14ac:dyDescent="0.25">
      <c r="A443" s="41" t="s">
        <v>664</v>
      </c>
      <c r="B443" s="42" t="s">
        <v>600</v>
      </c>
      <c r="C443" s="40" t="s">
        <v>6</v>
      </c>
      <c r="D443" s="45">
        <f>+D438</f>
        <v>11.251999999999999</v>
      </c>
      <c r="E443" s="44"/>
      <c r="F443" s="44"/>
    </row>
    <row r="444" spans="1:8" ht="15.95" customHeight="1" thickBot="1" x14ac:dyDescent="0.3">
      <c r="A444" s="41" t="s">
        <v>665</v>
      </c>
      <c r="B444" s="42" t="s">
        <v>493</v>
      </c>
      <c r="C444" s="40" t="s">
        <v>6</v>
      </c>
      <c r="D444" s="45">
        <f>5.96*3*2.5</f>
        <v>44.699999999999996</v>
      </c>
      <c r="E444" s="44"/>
      <c r="F444" s="44"/>
    </row>
    <row r="445" spans="1:8" ht="15.95" customHeight="1" thickBot="1" x14ac:dyDescent="0.3">
      <c r="A445" s="99" t="s">
        <v>51</v>
      </c>
      <c r="B445" s="54" t="s">
        <v>491</v>
      </c>
      <c r="C445" s="55"/>
      <c r="D445" s="63"/>
      <c r="E445" s="57"/>
      <c r="F445" s="57"/>
      <c r="H445" s="84">
        <f>SUM(F446:F459)</f>
        <v>0</v>
      </c>
    </row>
    <row r="446" spans="1:8" ht="15.95" customHeight="1" x14ac:dyDescent="0.25">
      <c r="A446" s="41" t="s">
        <v>91</v>
      </c>
      <c r="B446" s="42" t="s">
        <v>383</v>
      </c>
      <c r="C446" s="40" t="s">
        <v>6</v>
      </c>
      <c r="D446" s="45">
        <v>11.95</v>
      </c>
      <c r="E446" s="44"/>
      <c r="F446" s="44"/>
    </row>
    <row r="447" spans="1:8" ht="15.95" customHeight="1" x14ac:dyDescent="0.25">
      <c r="A447" s="41" t="s">
        <v>92</v>
      </c>
      <c r="B447" s="42" t="s">
        <v>593</v>
      </c>
      <c r="C447" s="40" t="s">
        <v>6</v>
      </c>
      <c r="D447" s="45">
        <f>+D446+1.404</f>
        <v>13.353999999999999</v>
      </c>
      <c r="E447" s="44"/>
      <c r="F447" s="44"/>
    </row>
    <row r="448" spans="1:8" ht="15.95" customHeight="1" x14ac:dyDescent="0.25">
      <c r="A448" s="41" t="s">
        <v>93</v>
      </c>
      <c r="B448" s="42" t="s">
        <v>129</v>
      </c>
      <c r="C448" s="40" t="s">
        <v>6</v>
      </c>
      <c r="D448" s="45">
        <f>14.04*2.8-2-D454</f>
        <v>26.06</v>
      </c>
      <c r="E448" s="44"/>
      <c r="F448" s="44"/>
    </row>
    <row r="449" spans="1:8" ht="15.95" customHeight="1" x14ac:dyDescent="0.25">
      <c r="A449" s="41" t="s">
        <v>94</v>
      </c>
      <c r="B449" s="42" t="s">
        <v>130</v>
      </c>
      <c r="C449" s="40" t="s">
        <v>6</v>
      </c>
      <c r="D449" s="45">
        <f>+D446</f>
        <v>11.95</v>
      </c>
      <c r="E449" s="44"/>
      <c r="F449" s="44"/>
    </row>
    <row r="450" spans="1:8" ht="15.95" customHeight="1" x14ac:dyDescent="0.25">
      <c r="A450" s="41" t="s">
        <v>95</v>
      </c>
      <c r="B450" s="42" t="s">
        <v>210</v>
      </c>
      <c r="C450" s="40" t="s">
        <v>125</v>
      </c>
      <c r="D450" s="45">
        <v>1</v>
      </c>
      <c r="E450" s="44"/>
      <c r="F450" s="44"/>
    </row>
    <row r="451" spans="1:8" ht="15.95" customHeight="1" x14ac:dyDescent="0.25">
      <c r="A451" s="41" t="s">
        <v>96</v>
      </c>
      <c r="B451" s="42" t="s">
        <v>601</v>
      </c>
      <c r="C451" s="40" t="s">
        <v>125</v>
      </c>
      <c r="D451" s="45">
        <v>1</v>
      </c>
      <c r="E451" s="44"/>
      <c r="F451" s="44"/>
    </row>
    <row r="452" spans="1:8" ht="15.95" customHeight="1" x14ac:dyDescent="0.25">
      <c r="A452" s="41" t="s">
        <v>97</v>
      </c>
      <c r="B452" s="42" t="s">
        <v>455</v>
      </c>
      <c r="C452" s="40" t="s">
        <v>125</v>
      </c>
      <c r="D452" s="45">
        <v>1</v>
      </c>
      <c r="E452" s="44"/>
      <c r="F452" s="44"/>
    </row>
    <row r="453" spans="1:8" ht="15.95" customHeight="1" x14ac:dyDescent="0.25">
      <c r="A453" s="41" t="s">
        <v>369</v>
      </c>
      <c r="B453" s="42" t="s">
        <v>117</v>
      </c>
      <c r="C453" s="40" t="s">
        <v>6</v>
      </c>
      <c r="D453" s="45">
        <f>(2.9*1.42+0.52*2.9)*2</f>
        <v>11.251999999999999</v>
      </c>
      <c r="E453" s="44"/>
      <c r="F453" s="44"/>
    </row>
    <row r="454" spans="1:8" ht="15.95" customHeight="1" x14ac:dyDescent="0.25">
      <c r="A454" s="41" t="s">
        <v>384</v>
      </c>
      <c r="B454" s="42" t="s">
        <v>599</v>
      </c>
      <c r="C454" s="40" t="s">
        <v>6</v>
      </c>
      <c r="D454" s="45">
        <f>+D453</f>
        <v>11.251999999999999</v>
      </c>
      <c r="E454" s="44"/>
      <c r="F454" s="44"/>
    </row>
    <row r="455" spans="1:8" ht="15.95" customHeight="1" x14ac:dyDescent="0.25">
      <c r="A455" s="41" t="s">
        <v>385</v>
      </c>
      <c r="B455" s="105" t="s">
        <v>632</v>
      </c>
      <c r="C455" s="77" t="s">
        <v>126</v>
      </c>
      <c r="D455" s="78">
        <f>25*2</f>
        <v>50</v>
      </c>
      <c r="E455" s="79"/>
      <c r="F455" s="44"/>
    </row>
    <row r="456" spans="1:8" ht="15.95" customHeight="1" x14ac:dyDescent="0.25">
      <c r="A456" s="41" t="s">
        <v>458</v>
      </c>
      <c r="B456" s="105" t="s">
        <v>633</v>
      </c>
      <c r="C456" s="77" t="s">
        <v>125</v>
      </c>
      <c r="D456" s="78">
        <v>3</v>
      </c>
      <c r="E456" s="79"/>
      <c r="F456" s="44"/>
    </row>
    <row r="457" spans="1:8" ht="15.95" customHeight="1" x14ac:dyDescent="0.25">
      <c r="A457" s="41" t="s">
        <v>666</v>
      </c>
      <c r="B457" s="105" t="s">
        <v>634</v>
      </c>
      <c r="C457" s="77" t="s">
        <v>125</v>
      </c>
      <c r="D457" s="78">
        <v>1</v>
      </c>
      <c r="E457" s="79"/>
      <c r="F457" s="44"/>
    </row>
    <row r="458" spans="1:8" ht="15.95" customHeight="1" x14ac:dyDescent="0.25">
      <c r="A458" s="41" t="s">
        <v>667</v>
      </c>
      <c r="B458" s="42" t="s">
        <v>610</v>
      </c>
      <c r="C458" s="40" t="s">
        <v>125</v>
      </c>
      <c r="D458" s="45">
        <v>6</v>
      </c>
      <c r="E458" s="44"/>
      <c r="F458" s="44"/>
    </row>
    <row r="459" spans="1:8" ht="15.95" customHeight="1" thickBot="1" x14ac:dyDescent="0.3">
      <c r="A459" s="41" t="s">
        <v>668</v>
      </c>
      <c r="B459" s="42" t="s">
        <v>600</v>
      </c>
      <c r="C459" s="40" t="s">
        <v>6</v>
      </c>
      <c r="D459" s="45">
        <f>+D454</f>
        <v>11.251999999999999</v>
      </c>
      <c r="E459" s="44"/>
      <c r="F459" s="44"/>
    </row>
    <row r="460" spans="1:8" ht="15.95" customHeight="1" thickBot="1" x14ac:dyDescent="0.3">
      <c r="A460" s="99" t="s">
        <v>52</v>
      </c>
      <c r="B460" s="54" t="s">
        <v>382</v>
      </c>
      <c r="C460" s="55"/>
      <c r="D460" s="63"/>
      <c r="E460" s="57"/>
      <c r="F460" s="57"/>
      <c r="H460" s="84">
        <f>SUM(F461:F474)</f>
        <v>0</v>
      </c>
    </row>
    <row r="461" spans="1:8" ht="15.95" customHeight="1" x14ac:dyDescent="0.25">
      <c r="A461" s="41" t="s">
        <v>118</v>
      </c>
      <c r="B461" s="42" t="s">
        <v>383</v>
      </c>
      <c r="C461" s="40" t="s">
        <v>6</v>
      </c>
      <c r="D461" s="45">
        <v>11.95</v>
      </c>
      <c r="E461" s="44"/>
      <c r="F461" s="44"/>
    </row>
    <row r="462" spans="1:8" ht="15.95" customHeight="1" x14ac:dyDescent="0.25">
      <c r="A462" s="41" t="s">
        <v>119</v>
      </c>
      <c r="B462" s="42" t="s">
        <v>593</v>
      </c>
      <c r="C462" s="40" t="s">
        <v>6</v>
      </c>
      <c r="D462" s="45">
        <f>+D461+1.404</f>
        <v>13.353999999999999</v>
      </c>
      <c r="E462" s="44"/>
      <c r="F462" s="44"/>
    </row>
    <row r="463" spans="1:8" ht="15.95" customHeight="1" x14ac:dyDescent="0.25">
      <c r="A463" s="41" t="s">
        <v>120</v>
      </c>
      <c r="B463" s="42" t="s">
        <v>129</v>
      </c>
      <c r="C463" s="40" t="s">
        <v>6</v>
      </c>
      <c r="D463" s="45">
        <f>14.04*2.8-2-D469</f>
        <v>31.686</v>
      </c>
      <c r="E463" s="44"/>
      <c r="F463" s="44"/>
    </row>
    <row r="464" spans="1:8" ht="15.95" customHeight="1" x14ac:dyDescent="0.25">
      <c r="A464" s="41" t="s">
        <v>121</v>
      </c>
      <c r="B464" s="42" t="s">
        <v>130</v>
      </c>
      <c r="C464" s="40" t="s">
        <v>6</v>
      </c>
      <c r="D464" s="45">
        <f>+D461</f>
        <v>11.95</v>
      </c>
      <c r="E464" s="44"/>
      <c r="F464" s="44"/>
    </row>
    <row r="465" spans="1:8" ht="15.95" customHeight="1" x14ac:dyDescent="0.25">
      <c r="A465" s="41" t="s">
        <v>370</v>
      </c>
      <c r="B465" s="42" t="s">
        <v>210</v>
      </c>
      <c r="C465" s="40" t="s">
        <v>125</v>
      </c>
      <c r="D465" s="45">
        <v>1</v>
      </c>
      <c r="E465" s="44"/>
      <c r="F465" s="44"/>
    </row>
    <row r="466" spans="1:8" ht="15.95" customHeight="1" x14ac:dyDescent="0.25">
      <c r="A466" s="41" t="s">
        <v>371</v>
      </c>
      <c r="B466" s="42" t="s">
        <v>601</v>
      </c>
      <c r="C466" s="40" t="s">
        <v>125</v>
      </c>
      <c r="D466" s="45">
        <v>1</v>
      </c>
      <c r="E466" s="44"/>
      <c r="F466" s="44"/>
    </row>
    <row r="467" spans="1:8" ht="15.95" customHeight="1" x14ac:dyDescent="0.25">
      <c r="A467" s="41" t="s">
        <v>372</v>
      </c>
      <c r="B467" s="42" t="s">
        <v>455</v>
      </c>
      <c r="C467" s="40" t="s">
        <v>125</v>
      </c>
      <c r="D467" s="45">
        <v>1</v>
      </c>
      <c r="E467" s="44"/>
      <c r="F467" s="44"/>
    </row>
    <row r="468" spans="1:8" ht="15.95" customHeight="1" x14ac:dyDescent="0.25">
      <c r="A468" s="41" t="s">
        <v>373</v>
      </c>
      <c r="B468" s="42" t="s">
        <v>117</v>
      </c>
      <c r="C468" s="40" t="s">
        <v>6</v>
      </c>
      <c r="D468" s="45">
        <f>2.9*1.42+0.52*2.9</f>
        <v>5.6259999999999994</v>
      </c>
      <c r="E468" s="44"/>
      <c r="F468" s="44"/>
    </row>
    <row r="469" spans="1:8" ht="15.95" customHeight="1" x14ac:dyDescent="0.25">
      <c r="A469" s="41" t="s">
        <v>387</v>
      </c>
      <c r="B469" s="42" t="s">
        <v>599</v>
      </c>
      <c r="C469" s="40" t="s">
        <v>6</v>
      </c>
      <c r="D469" s="45">
        <f>+D468</f>
        <v>5.6259999999999994</v>
      </c>
      <c r="E469" s="44"/>
      <c r="F469" s="44"/>
    </row>
    <row r="470" spans="1:8" ht="15.95" customHeight="1" x14ac:dyDescent="0.25">
      <c r="A470" s="41" t="s">
        <v>388</v>
      </c>
      <c r="B470" s="105" t="s">
        <v>632</v>
      </c>
      <c r="C470" s="77" t="s">
        <v>126</v>
      </c>
      <c r="D470" s="78">
        <f>15*2</f>
        <v>30</v>
      </c>
      <c r="E470" s="79"/>
      <c r="F470" s="44"/>
    </row>
    <row r="471" spans="1:8" ht="15.95" customHeight="1" x14ac:dyDescent="0.25">
      <c r="A471" s="41" t="s">
        <v>459</v>
      </c>
      <c r="B471" s="105" t="s">
        <v>633</v>
      </c>
      <c r="C471" s="77" t="s">
        <v>125</v>
      </c>
      <c r="D471" s="78">
        <v>3</v>
      </c>
      <c r="E471" s="79"/>
      <c r="F471" s="44"/>
    </row>
    <row r="472" spans="1:8" ht="15.95" customHeight="1" x14ac:dyDescent="0.25">
      <c r="A472" s="41" t="s">
        <v>669</v>
      </c>
      <c r="B472" s="105" t="s">
        <v>634</v>
      </c>
      <c r="C472" s="77" t="s">
        <v>125</v>
      </c>
      <c r="D472" s="78">
        <v>1</v>
      </c>
      <c r="E472" s="79"/>
      <c r="F472" s="44"/>
    </row>
    <row r="473" spans="1:8" ht="15.95" customHeight="1" x14ac:dyDescent="0.25">
      <c r="A473" s="41" t="s">
        <v>670</v>
      </c>
      <c r="B473" s="42" t="s">
        <v>610</v>
      </c>
      <c r="C473" s="40" t="s">
        <v>125</v>
      </c>
      <c r="D473" s="45">
        <v>2</v>
      </c>
      <c r="E473" s="44"/>
      <c r="F473" s="44"/>
    </row>
    <row r="474" spans="1:8" ht="15.95" customHeight="1" thickBot="1" x14ac:dyDescent="0.3">
      <c r="A474" s="41" t="s">
        <v>671</v>
      </c>
      <c r="B474" s="42" t="s">
        <v>600</v>
      </c>
      <c r="C474" s="40" t="s">
        <v>6</v>
      </c>
      <c r="D474" s="45">
        <f>+D469</f>
        <v>5.6259999999999994</v>
      </c>
      <c r="E474" s="44"/>
      <c r="F474" s="44"/>
    </row>
    <row r="475" spans="1:8" ht="15.95" customHeight="1" thickBot="1" x14ac:dyDescent="0.3">
      <c r="A475" s="99" t="s">
        <v>376</v>
      </c>
      <c r="B475" s="54" t="s">
        <v>386</v>
      </c>
      <c r="C475" s="55"/>
      <c r="D475" s="63"/>
      <c r="E475" s="57"/>
      <c r="F475" s="57"/>
      <c r="H475" s="84">
        <f>SUM(F476:F489)</f>
        <v>0</v>
      </c>
    </row>
    <row r="476" spans="1:8" ht="15.95" customHeight="1" x14ac:dyDescent="0.25">
      <c r="A476" s="41" t="s">
        <v>389</v>
      </c>
      <c r="B476" s="42" t="s">
        <v>383</v>
      </c>
      <c r="C476" s="40" t="s">
        <v>6</v>
      </c>
      <c r="D476" s="45">
        <v>11.95</v>
      </c>
      <c r="E476" s="44"/>
      <c r="F476" s="44"/>
    </row>
    <row r="477" spans="1:8" ht="15.95" customHeight="1" x14ac:dyDescent="0.25">
      <c r="A477" s="41" t="s">
        <v>390</v>
      </c>
      <c r="B477" s="42" t="s">
        <v>593</v>
      </c>
      <c r="C477" s="40" t="s">
        <v>6</v>
      </c>
      <c r="D477" s="45">
        <f>+D476+1.404</f>
        <v>13.353999999999999</v>
      </c>
      <c r="E477" s="44"/>
      <c r="F477" s="44"/>
    </row>
    <row r="478" spans="1:8" ht="15.95" customHeight="1" x14ac:dyDescent="0.25">
      <c r="A478" s="41" t="s">
        <v>391</v>
      </c>
      <c r="B478" s="42" t="s">
        <v>129</v>
      </c>
      <c r="C478" s="40" t="s">
        <v>6</v>
      </c>
      <c r="D478" s="45">
        <f>14.04*2.8-2-D484</f>
        <v>31.686</v>
      </c>
      <c r="E478" s="44"/>
      <c r="F478" s="44"/>
    </row>
    <row r="479" spans="1:8" ht="15.95" customHeight="1" x14ac:dyDescent="0.25">
      <c r="A479" s="41" t="s">
        <v>392</v>
      </c>
      <c r="B479" s="42" t="s">
        <v>130</v>
      </c>
      <c r="C479" s="40" t="s">
        <v>6</v>
      </c>
      <c r="D479" s="45">
        <f>+D476</f>
        <v>11.95</v>
      </c>
      <c r="E479" s="44"/>
      <c r="F479" s="44"/>
    </row>
    <row r="480" spans="1:8" ht="15.95" customHeight="1" x14ac:dyDescent="0.25">
      <c r="A480" s="41" t="s">
        <v>393</v>
      </c>
      <c r="B480" s="42" t="s">
        <v>210</v>
      </c>
      <c r="C480" s="40" t="s">
        <v>125</v>
      </c>
      <c r="D480" s="45">
        <v>1</v>
      </c>
      <c r="E480" s="44"/>
      <c r="F480" s="44"/>
    </row>
    <row r="481" spans="1:8" ht="15.95" customHeight="1" x14ac:dyDescent="0.25">
      <c r="A481" s="41" t="s">
        <v>394</v>
      </c>
      <c r="B481" s="42" t="s">
        <v>601</v>
      </c>
      <c r="C481" s="40" t="s">
        <v>125</v>
      </c>
      <c r="D481" s="45">
        <v>1</v>
      </c>
      <c r="E481" s="44"/>
      <c r="F481" s="44"/>
    </row>
    <row r="482" spans="1:8" ht="15.95" customHeight="1" x14ac:dyDescent="0.25">
      <c r="A482" s="41" t="s">
        <v>395</v>
      </c>
      <c r="B482" s="42" t="s">
        <v>455</v>
      </c>
      <c r="C482" s="40" t="s">
        <v>125</v>
      </c>
      <c r="D482" s="45">
        <v>1</v>
      </c>
      <c r="E482" s="44"/>
      <c r="F482" s="44"/>
    </row>
    <row r="483" spans="1:8" ht="15.95" customHeight="1" x14ac:dyDescent="0.25">
      <c r="A483" s="41" t="s">
        <v>396</v>
      </c>
      <c r="B483" s="42" t="s">
        <v>117</v>
      </c>
      <c r="C483" s="40" t="s">
        <v>6</v>
      </c>
      <c r="D483" s="45">
        <f>2.9*1.42+0.52*2.9</f>
        <v>5.6259999999999994</v>
      </c>
      <c r="E483" s="44"/>
      <c r="F483" s="44"/>
    </row>
    <row r="484" spans="1:8" ht="15.95" customHeight="1" x14ac:dyDescent="0.25">
      <c r="A484" s="41" t="s">
        <v>397</v>
      </c>
      <c r="B484" s="42" t="s">
        <v>599</v>
      </c>
      <c r="C484" s="40" t="s">
        <v>6</v>
      </c>
      <c r="D484" s="45">
        <f>+D483</f>
        <v>5.6259999999999994</v>
      </c>
      <c r="E484" s="44"/>
      <c r="F484" s="44"/>
    </row>
    <row r="485" spans="1:8" ht="15.95" customHeight="1" x14ac:dyDescent="0.25">
      <c r="A485" s="41" t="s">
        <v>398</v>
      </c>
      <c r="B485" s="105" t="s">
        <v>632</v>
      </c>
      <c r="C485" s="77" t="s">
        <v>126</v>
      </c>
      <c r="D485" s="78">
        <f>15*2</f>
        <v>30</v>
      </c>
      <c r="E485" s="79"/>
      <c r="F485" s="44"/>
    </row>
    <row r="486" spans="1:8" ht="15.95" customHeight="1" x14ac:dyDescent="0.25">
      <c r="A486" s="41" t="s">
        <v>460</v>
      </c>
      <c r="B486" s="105" t="s">
        <v>633</v>
      </c>
      <c r="C486" s="77" t="s">
        <v>125</v>
      </c>
      <c r="D486" s="78">
        <v>3</v>
      </c>
      <c r="E486" s="79"/>
      <c r="F486" s="44"/>
    </row>
    <row r="487" spans="1:8" ht="15.95" customHeight="1" x14ac:dyDescent="0.25">
      <c r="A487" s="41" t="s">
        <v>672</v>
      </c>
      <c r="B487" s="105" t="s">
        <v>634</v>
      </c>
      <c r="C487" s="77" t="s">
        <v>125</v>
      </c>
      <c r="D487" s="78">
        <v>1</v>
      </c>
      <c r="E487" s="79"/>
      <c r="F487" s="44"/>
    </row>
    <row r="488" spans="1:8" ht="15.95" customHeight="1" x14ac:dyDescent="0.25">
      <c r="A488" s="41" t="s">
        <v>673</v>
      </c>
      <c r="B488" s="42" t="s">
        <v>610</v>
      </c>
      <c r="C488" s="40" t="s">
        <v>125</v>
      </c>
      <c r="D488" s="45">
        <v>2</v>
      </c>
      <c r="E488" s="44"/>
      <c r="F488" s="44"/>
    </row>
    <row r="489" spans="1:8" ht="15.95" customHeight="1" thickBot="1" x14ac:dyDescent="0.3">
      <c r="A489" s="41" t="s">
        <v>674</v>
      </c>
      <c r="B489" s="42" t="s">
        <v>600</v>
      </c>
      <c r="C489" s="40" t="s">
        <v>6</v>
      </c>
      <c r="D489" s="45">
        <f>+D484</f>
        <v>5.6259999999999994</v>
      </c>
      <c r="E489" s="44"/>
      <c r="F489" s="44"/>
    </row>
    <row r="490" spans="1:8" ht="15.95" customHeight="1" thickBot="1" x14ac:dyDescent="0.3">
      <c r="A490" s="99" t="s">
        <v>399</v>
      </c>
      <c r="B490" s="54" t="s">
        <v>153</v>
      </c>
      <c r="C490" s="55"/>
      <c r="D490" s="63"/>
      <c r="E490" s="57"/>
      <c r="F490" s="57"/>
      <c r="H490" s="84">
        <f>SUM(F491:F502)</f>
        <v>0</v>
      </c>
    </row>
    <row r="491" spans="1:8" ht="15.95" customHeight="1" x14ac:dyDescent="0.25">
      <c r="A491" s="41" t="s">
        <v>400</v>
      </c>
      <c r="B491" s="42" t="s">
        <v>383</v>
      </c>
      <c r="C491" s="40" t="s">
        <v>6</v>
      </c>
      <c r="D491" s="45">
        <v>19.510000000000002</v>
      </c>
      <c r="E491" s="44"/>
      <c r="F491" s="44"/>
    </row>
    <row r="492" spans="1:8" ht="15.95" customHeight="1" x14ac:dyDescent="0.25">
      <c r="A492" s="41" t="s">
        <v>401</v>
      </c>
      <c r="B492" s="42" t="s">
        <v>593</v>
      </c>
      <c r="C492" s="40" t="s">
        <v>6</v>
      </c>
      <c r="D492" s="45">
        <f>+D491+2.78</f>
        <v>22.290000000000003</v>
      </c>
      <c r="E492" s="44"/>
      <c r="F492" s="44"/>
    </row>
    <row r="493" spans="1:8" ht="15.95" customHeight="1" x14ac:dyDescent="0.25">
      <c r="A493" s="41" t="s">
        <v>402</v>
      </c>
      <c r="B493" s="42" t="s">
        <v>129</v>
      </c>
      <c r="C493" s="40" t="s">
        <v>6</v>
      </c>
      <c r="D493" s="45">
        <f>27.08*2.8-16-D496</f>
        <v>55.299999999999983</v>
      </c>
      <c r="E493" s="44"/>
      <c r="F493" s="44"/>
    </row>
    <row r="494" spans="1:8" ht="15.95" customHeight="1" x14ac:dyDescent="0.25">
      <c r="A494" s="41" t="s">
        <v>403</v>
      </c>
      <c r="B494" s="42" t="s">
        <v>130</v>
      </c>
      <c r="C494" s="40" t="s">
        <v>6</v>
      </c>
      <c r="D494" s="45">
        <f>+D491</f>
        <v>19.510000000000002</v>
      </c>
      <c r="E494" s="44"/>
      <c r="F494" s="44"/>
    </row>
    <row r="495" spans="1:8" ht="15.95" customHeight="1" x14ac:dyDescent="0.25">
      <c r="A495" s="41" t="s">
        <v>404</v>
      </c>
      <c r="B495" s="42" t="s">
        <v>455</v>
      </c>
      <c r="C495" s="40" t="s">
        <v>125</v>
      </c>
      <c r="D495" s="45">
        <v>4</v>
      </c>
      <c r="E495" s="44"/>
      <c r="F495" s="44"/>
    </row>
    <row r="496" spans="1:8" ht="15.95" customHeight="1" x14ac:dyDescent="0.25">
      <c r="A496" s="41" t="s">
        <v>405</v>
      </c>
      <c r="B496" s="42" t="s">
        <v>117</v>
      </c>
      <c r="C496" s="40" t="s">
        <v>6</v>
      </c>
      <c r="D496" s="45">
        <v>4.524</v>
      </c>
      <c r="E496" s="44"/>
      <c r="F496" s="44"/>
    </row>
    <row r="497" spans="1:8" ht="15.95" customHeight="1" x14ac:dyDescent="0.25">
      <c r="A497" s="41" t="s">
        <v>406</v>
      </c>
      <c r="B497" s="42" t="s">
        <v>599</v>
      </c>
      <c r="C497" s="40" t="s">
        <v>6</v>
      </c>
      <c r="D497" s="45">
        <f>+D496</f>
        <v>4.524</v>
      </c>
      <c r="E497" s="44"/>
      <c r="F497" s="44"/>
    </row>
    <row r="498" spans="1:8" ht="15.95" customHeight="1" x14ac:dyDescent="0.25">
      <c r="A498" s="41" t="s">
        <v>407</v>
      </c>
      <c r="B498" s="105" t="s">
        <v>632</v>
      </c>
      <c r="C498" s="77" t="s">
        <v>126</v>
      </c>
      <c r="D498" s="78">
        <f>27.08*2</f>
        <v>54.16</v>
      </c>
      <c r="E498" s="79"/>
      <c r="F498" s="44"/>
    </row>
    <row r="499" spans="1:8" ht="15.95" customHeight="1" x14ac:dyDescent="0.25">
      <c r="A499" s="41" t="s">
        <v>408</v>
      </c>
      <c r="B499" s="105" t="s">
        <v>633</v>
      </c>
      <c r="C499" s="77" t="s">
        <v>125</v>
      </c>
      <c r="D499" s="78">
        <v>3</v>
      </c>
      <c r="E499" s="79"/>
      <c r="F499" s="44"/>
    </row>
    <row r="500" spans="1:8" ht="15.95" customHeight="1" x14ac:dyDescent="0.25">
      <c r="A500" s="41" t="s">
        <v>675</v>
      </c>
      <c r="B500" s="105" t="s">
        <v>634</v>
      </c>
      <c r="C500" s="77" t="s">
        <v>125</v>
      </c>
      <c r="D500" s="78">
        <v>1</v>
      </c>
      <c r="E500" s="79"/>
      <c r="F500" s="44"/>
    </row>
    <row r="501" spans="1:8" ht="15.95" customHeight="1" x14ac:dyDescent="0.25">
      <c r="A501" s="41" t="s">
        <v>676</v>
      </c>
      <c r="B501" s="42" t="s">
        <v>610</v>
      </c>
      <c r="C501" s="40" t="s">
        <v>125</v>
      </c>
      <c r="D501" s="45">
        <v>4</v>
      </c>
      <c r="E501" s="44"/>
      <c r="F501" s="44"/>
    </row>
    <row r="502" spans="1:8" ht="15.95" customHeight="1" thickBot="1" x14ac:dyDescent="0.3">
      <c r="A502" s="41" t="s">
        <v>677</v>
      </c>
      <c r="B502" s="42" t="s">
        <v>600</v>
      </c>
      <c r="C502" s="40" t="s">
        <v>6</v>
      </c>
      <c r="D502" s="45">
        <f>+D501</f>
        <v>4</v>
      </c>
      <c r="E502" s="44"/>
      <c r="F502" s="44"/>
    </row>
    <row r="503" spans="1:8" ht="15.95" customHeight="1" thickBot="1" x14ac:dyDescent="0.3">
      <c r="A503" s="99" t="s">
        <v>418</v>
      </c>
      <c r="B503" s="54" t="s">
        <v>494</v>
      </c>
      <c r="C503" s="55"/>
      <c r="D503" s="63"/>
      <c r="E503" s="57"/>
      <c r="F503" s="57"/>
      <c r="H503" s="84">
        <f>SUM(F504:F530)</f>
        <v>0</v>
      </c>
    </row>
    <row r="504" spans="1:8" ht="15.95" customHeight="1" x14ac:dyDescent="0.25">
      <c r="A504" s="41" t="s">
        <v>419</v>
      </c>
      <c r="B504" s="42" t="s">
        <v>383</v>
      </c>
      <c r="C504" s="40" t="s">
        <v>6</v>
      </c>
      <c r="D504" s="45">
        <v>17</v>
      </c>
      <c r="E504" s="44"/>
      <c r="F504" s="44"/>
    </row>
    <row r="505" spans="1:8" ht="15.95" customHeight="1" x14ac:dyDescent="0.25">
      <c r="A505" s="41" t="s">
        <v>420</v>
      </c>
      <c r="B505" s="42" t="s">
        <v>593</v>
      </c>
      <c r="C505" s="40" t="s">
        <v>6</v>
      </c>
      <c r="D505" s="45">
        <f>+D504+1.7</f>
        <v>18.7</v>
      </c>
      <c r="E505" s="44"/>
      <c r="F505" s="44"/>
    </row>
    <row r="506" spans="1:8" ht="15.95" customHeight="1" x14ac:dyDescent="0.25">
      <c r="A506" s="41" t="s">
        <v>421</v>
      </c>
      <c r="B506" s="42" t="s">
        <v>129</v>
      </c>
      <c r="C506" s="40" t="s">
        <v>6</v>
      </c>
      <c r="D506" s="45">
        <f>17.51*3-1.8*3+3*3*4</f>
        <v>83.13</v>
      </c>
      <c r="E506" s="44"/>
      <c r="F506" s="44"/>
    </row>
    <row r="507" spans="1:8" ht="15.95" customHeight="1" x14ac:dyDescent="0.25">
      <c r="A507" s="41" t="s">
        <v>440</v>
      </c>
      <c r="B507" s="42" t="s">
        <v>130</v>
      </c>
      <c r="C507" s="40" t="s">
        <v>6</v>
      </c>
      <c r="D507" s="45">
        <f>+D504</f>
        <v>17</v>
      </c>
      <c r="E507" s="44"/>
      <c r="F507" s="44"/>
    </row>
    <row r="508" spans="1:8" ht="15.95" customHeight="1" x14ac:dyDescent="0.25">
      <c r="A508" s="41" t="s">
        <v>441</v>
      </c>
      <c r="B508" s="42" t="s">
        <v>455</v>
      </c>
      <c r="C508" s="40" t="s">
        <v>125</v>
      </c>
      <c r="D508" s="45">
        <v>3</v>
      </c>
      <c r="E508" s="44"/>
      <c r="F508" s="44"/>
    </row>
    <row r="509" spans="1:8" ht="15.95" customHeight="1" x14ac:dyDescent="0.25">
      <c r="A509" s="41" t="s">
        <v>442</v>
      </c>
      <c r="B509" s="42" t="s">
        <v>117</v>
      </c>
      <c r="C509" s="40" t="s">
        <v>6</v>
      </c>
      <c r="D509" s="45">
        <v>4.524</v>
      </c>
      <c r="E509" s="44"/>
      <c r="F509" s="44"/>
    </row>
    <row r="510" spans="1:8" ht="15.95" customHeight="1" x14ac:dyDescent="0.25">
      <c r="A510" s="41" t="s">
        <v>443</v>
      </c>
      <c r="B510" s="42" t="s">
        <v>599</v>
      </c>
      <c r="C510" s="40" t="s">
        <v>6</v>
      </c>
      <c r="D510" s="45">
        <f>+D509</f>
        <v>4.524</v>
      </c>
      <c r="E510" s="44"/>
      <c r="F510" s="44"/>
    </row>
    <row r="511" spans="1:8" ht="15.95" customHeight="1" x14ac:dyDescent="0.25">
      <c r="A511" s="41" t="s">
        <v>488</v>
      </c>
      <c r="B511" s="105" t="s">
        <v>632</v>
      </c>
      <c r="C511" s="77" t="s">
        <v>126</v>
      </c>
      <c r="D511" s="78">
        <f>17.51*3</f>
        <v>52.53</v>
      </c>
      <c r="E511" s="79"/>
      <c r="F511" s="44"/>
    </row>
    <row r="512" spans="1:8" ht="15.95" customHeight="1" x14ac:dyDescent="0.25">
      <c r="A512" s="41" t="s">
        <v>489</v>
      </c>
      <c r="B512" s="105" t="s">
        <v>634</v>
      </c>
      <c r="C512" s="77" t="s">
        <v>125</v>
      </c>
      <c r="D512" s="78">
        <v>1</v>
      </c>
      <c r="E512" s="79"/>
      <c r="F512" s="44"/>
    </row>
    <row r="513" spans="1:6" ht="15.95" customHeight="1" x14ac:dyDescent="0.25">
      <c r="A513" s="41" t="s">
        <v>495</v>
      </c>
      <c r="B513" s="42" t="s">
        <v>610</v>
      </c>
      <c r="C513" s="40" t="s">
        <v>125</v>
      </c>
      <c r="D513" s="45">
        <v>3</v>
      </c>
      <c r="E513" s="44"/>
      <c r="F513" s="44"/>
    </row>
    <row r="514" spans="1:6" ht="15.95" customHeight="1" x14ac:dyDescent="0.25">
      <c r="A514" s="41" t="s">
        <v>496</v>
      </c>
      <c r="B514" s="42" t="s">
        <v>600</v>
      </c>
      <c r="C514" s="40" t="s">
        <v>6</v>
      </c>
      <c r="D514" s="45">
        <f>+D513</f>
        <v>3</v>
      </c>
      <c r="E514" s="44"/>
      <c r="F514" s="44"/>
    </row>
    <row r="515" spans="1:6" ht="15.95" customHeight="1" x14ac:dyDescent="0.25">
      <c r="A515" s="41" t="s">
        <v>497</v>
      </c>
      <c r="B515" s="42" t="s">
        <v>209</v>
      </c>
      <c r="C515" s="40" t="s">
        <v>125</v>
      </c>
      <c r="D515" s="45">
        <v>5</v>
      </c>
      <c r="E515" s="44"/>
      <c r="F515" s="44"/>
    </row>
    <row r="516" spans="1:6" ht="15.95" customHeight="1" x14ac:dyDescent="0.25">
      <c r="A516" s="41" t="s">
        <v>498</v>
      </c>
      <c r="B516" s="42" t="s">
        <v>237</v>
      </c>
      <c r="C516" s="40" t="s">
        <v>125</v>
      </c>
      <c r="D516" s="45">
        <v>5</v>
      </c>
      <c r="E516" s="44"/>
      <c r="F516" s="44"/>
    </row>
    <row r="517" spans="1:6" ht="15.95" customHeight="1" x14ac:dyDescent="0.25">
      <c r="A517" s="41" t="s">
        <v>499</v>
      </c>
      <c r="B517" s="42" t="s">
        <v>210</v>
      </c>
      <c r="C517" s="40" t="s">
        <v>125</v>
      </c>
      <c r="D517" s="45">
        <v>3</v>
      </c>
      <c r="E517" s="44"/>
      <c r="F517" s="44"/>
    </row>
    <row r="518" spans="1:6" ht="15.95" customHeight="1" x14ac:dyDescent="0.25">
      <c r="A518" s="41" t="s">
        <v>500</v>
      </c>
      <c r="B518" s="42" t="s">
        <v>601</v>
      </c>
      <c r="C518" s="40" t="s">
        <v>125</v>
      </c>
      <c r="D518" s="45">
        <v>3</v>
      </c>
      <c r="E518" s="44"/>
      <c r="F518" s="44"/>
    </row>
    <row r="519" spans="1:6" ht="15.95" customHeight="1" x14ac:dyDescent="0.25">
      <c r="A519" s="41" t="s">
        <v>521</v>
      </c>
      <c r="B519" s="42" t="s">
        <v>485</v>
      </c>
      <c r="C519" s="40" t="s">
        <v>125</v>
      </c>
      <c r="D519" s="45">
        <v>1</v>
      </c>
      <c r="E519" s="44"/>
      <c r="F519" s="44"/>
    </row>
    <row r="520" spans="1:6" ht="15.95" customHeight="1" x14ac:dyDescent="0.25">
      <c r="A520" s="41" t="s">
        <v>522</v>
      </c>
      <c r="B520" s="76" t="s">
        <v>611</v>
      </c>
      <c r="C520" s="40" t="s">
        <v>125</v>
      </c>
      <c r="D520" s="45">
        <v>1</v>
      </c>
      <c r="E520" s="44"/>
      <c r="F520" s="44"/>
    </row>
    <row r="521" spans="1:6" ht="15.95" customHeight="1" x14ac:dyDescent="0.25">
      <c r="A521" s="41" t="s">
        <v>523</v>
      </c>
      <c r="B521" s="42" t="s">
        <v>536</v>
      </c>
      <c r="C521" s="40" t="s">
        <v>125</v>
      </c>
      <c r="D521" s="45">
        <v>1</v>
      </c>
      <c r="E521" s="44"/>
      <c r="F521" s="44"/>
    </row>
    <row r="522" spans="1:6" ht="15.95" customHeight="1" x14ac:dyDescent="0.25">
      <c r="A522" s="41" t="s">
        <v>524</v>
      </c>
      <c r="B522" s="42" t="s">
        <v>483</v>
      </c>
      <c r="C522" s="40" t="s">
        <v>6</v>
      </c>
      <c r="D522" s="45">
        <v>3.6</v>
      </c>
      <c r="E522" s="44"/>
      <c r="F522" s="44"/>
    </row>
    <row r="523" spans="1:6" ht="15.95" customHeight="1" x14ac:dyDescent="0.25">
      <c r="A523" s="41" t="s">
        <v>525</v>
      </c>
      <c r="B523" s="42" t="s">
        <v>464</v>
      </c>
      <c r="C523" s="40" t="s">
        <v>6</v>
      </c>
      <c r="D523" s="45">
        <f>3*3*2</f>
        <v>18</v>
      </c>
      <c r="E523" s="44"/>
      <c r="F523" s="44"/>
    </row>
    <row r="524" spans="1:6" ht="15.95" customHeight="1" x14ac:dyDescent="0.25">
      <c r="A524" s="41" t="s">
        <v>526</v>
      </c>
      <c r="B524" s="42" t="s">
        <v>595</v>
      </c>
      <c r="C524" s="40" t="s">
        <v>6</v>
      </c>
      <c r="D524" s="45">
        <f>1.5*1.5*3+2*2</f>
        <v>10.75</v>
      </c>
      <c r="E524" s="44"/>
      <c r="F524" s="44"/>
    </row>
    <row r="525" spans="1:6" ht="15.95" customHeight="1" x14ac:dyDescent="0.25">
      <c r="A525" s="41" t="s">
        <v>527</v>
      </c>
      <c r="B525" s="42" t="s">
        <v>544</v>
      </c>
      <c r="C525" s="40" t="s">
        <v>125</v>
      </c>
      <c r="D525" s="43">
        <v>5</v>
      </c>
      <c r="E525" s="44"/>
      <c r="F525" s="44"/>
    </row>
    <row r="526" spans="1:6" ht="15.95" customHeight="1" x14ac:dyDescent="0.25">
      <c r="A526" s="41" t="s">
        <v>528</v>
      </c>
      <c r="B526" s="76" t="s">
        <v>529</v>
      </c>
      <c r="C526" s="77" t="s">
        <v>125</v>
      </c>
      <c r="D526" s="81">
        <v>3</v>
      </c>
      <c r="E526" s="44"/>
      <c r="F526" s="44"/>
    </row>
    <row r="527" spans="1:6" ht="15.95" customHeight="1" x14ac:dyDescent="0.25">
      <c r="A527" s="41" t="s">
        <v>535</v>
      </c>
      <c r="B527" s="76" t="s">
        <v>530</v>
      </c>
      <c r="C527" s="77" t="s">
        <v>125</v>
      </c>
      <c r="D527" s="81">
        <v>3</v>
      </c>
      <c r="E527" s="44"/>
      <c r="F527" s="44"/>
    </row>
    <row r="528" spans="1:6" ht="15.95" customHeight="1" x14ac:dyDescent="0.25">
      <c r="A528" s="41" t="s">
        <v>604</v>
      </c>
      <c r="B528" s="85" t="s">
        <v>608</v>
      </c>
      <c r="C528" s="77" t="s">
        <v>125</v>
      </c>
      <c r="D528" s="81">
        <v>3</v>
      </c>
      <c r="E528" s="44"/>
      <c r="F528" s="44"/>
    </row>
    <row r="529" spans="1:8" ht="15.95" customHeight="1" x14ac:dyDescent="0.25">
      <c r="A529" s="41" t="s">
        <v>678</v>
      </c>
      <c r="B529" s="42" t="s">
        <v>603</v>
      </c>
      <c r="C529" s="40" t="s">
        <v>126</v>
      </c>
      <c r="D529" s="43">
        <v>23</v>
      </c>
      <c r="E529" s="44"/>
      <c r="F529" s="44"/>
    </row>
    <row r="530" spans="1:8" ht="15.95" customHeight="1" thickBot="1" x14ac:dyDescent="0.3">
      <c r="A530" s="41" t="s">
        <v>679</v>
      </c>
      <c r="B530" s="42" t="s">
        <v>602</v>
      </c>
      <c r="C530" s="40" t="s">
        <v>126</v>
      </c>
      <c r="D530" s="43">
        <v>25</v>
      </c>
      <c r="E530" s="44"/>
      <c r="F530" s="44"/>
    </row>
    <row r="531" spans="1:8" ht="15.95" customHeight="1" thickBot="1" x14ac:dyDescent="0.3">
      <c r="A531" s="99" t="s">
        <v>511</v>
      </c>
      <c r="B531" s="54" t="s">
        <v>415</v>
      </c>
      <c r="C531" s="59"/>
      <c r="D531" s="60"/>
      <c r="E531" s="62"/>
      <c r="F531" s="62"/>
      <c r="H531" s="84">
        <f>SUM(F532:F547)</f>
        <v>0</v>
      </c>
    </row>
    <row r="532" spans="1:8" ht="15.95" customHeight="1" x14ac:dyDescent="0.25">
      <c r="A532" s="41" t="s">
        <v>512</v>
      </c>
      <c r="B532" s="42" t="s">
        <v>129</v>
      </c>
      <c r="C532" s="40" t="s">
        <v>6</v>
      </c>
      <c r="D532" s="45">
        <f>60.32*2.8-1.42*2.9*6-2.9*0.5*12</f>
        <v>126.78799999999998</v>
      </c>
      <c r="E532" s="44"/>
      <c r="F532" s="44"/>
    </row>
    <row r="533" spans="1:8" ht="15.95" customHeight="1" x14ac:dyDescent="0.25">
      <c r="A533" s="41" t="s">
        <v>513</v>
      </c>
      <c r="B533" s="42" t="s">
        <v>90</v>
      </c>
      <c r="C533" s="40" t="s">
        <v>6</v>
      </c>
      <c r="D533" s="46">
        <v>34.51</v>
      </c>
      <c r="E533" s="44"/>
      <c r="F533" s="44"/>
    </row>
    <row r="534" spans="1:8" ht="15.95" customHeight="1" x14ac:dyDescent="0.25">
      <c r="A534" s="41" t="s">
        <v>514</v>
      </c>
      <c r="B534" s="42" t="s">
        <v>53</v>
      </c>
      <c r="C534" s="40" t="s">
        <v>99</v>
      </c>
      <c r="D534" s="45">
        <f>+D533*0.3</f>
        <v>10.353</v>
      </c>
      <c r="E534" s="44"/>
      <c r="F534" s="44"/>
    </row>
    <row r="535" spans="1:8" ht="15.95" customHeight="1" x14ac:dyDescent="0.25">
      <c r="A535" s="41" t="s">
        <v>515</v>
      </c>
      <c r="B535" s="42" t="s">
        <v>439</v>
      </c>
      <c r="C535" s="40" t="s">
        <v>6</v>
      </c>
      <c r="D535" s="45">
        <f>+D533*0.2</f>
        <v>6.9020000000000001</v>
      </c>
      <c r="E535" s="44"/>
      <c r="F535" s="44"/>
    </row>
    <row r="536" spans="1:8" ht="15.95" customHeight="1" x14ac:dyDescent="0.25">
      <c r="A536" s="41" t="s">
        <v>516</v>
      </c>
      <c r="B536" s="42" t="s">
        <v>54</v>
      </c>
      <c r="C536" s="40" t="s">
        <v>6</v>
      </c>
      <c r="D536" s="45">
        <f>+D533</f>
        <v>34.51</v>
      </c>
      <c r="E536" s="44"/>
      <c r="F536" s="44"/>
    </row>
    <row r="537" spans="1:8" ht="15.95" customHeight="1" x14ac:dyDescent="0.25">
      <c r="A537" s="41" t="s">
        <v>517</v>
      </c>
      <c r="B537" s="42" t="s">
        <v>55</v>
      </c>
      <c r="C537" s="40" t="s">
        <v>6</v>
      </c>
      <c r="D537" s="45">
        <f>+D533</f>
        <v>34.51</v>
      </c>
      <c r="E537" s="44"/>
      <c r="F537" s="44"/>
    </row>
    <row r="538" spans="1:8" ht="15.95" customHeight="1" x14ac:dyDescent="0.25">
      <c r="A538" s="41" t="s">
        <v>518</v>
      </c>
      <c r="B538" s="42" t="s">
        <v>622</v>
      </c>
      <c r="C538" s="40" t="s">
        <v>99</v>
      </c>
      <c r="D538" s="45">
        <f>+D533*0.1</f>
        <v>3.4510000000000001</v>
      </c>
      <c r="E538" s="44"/>
      <c r="F538" s="44"/>
    </row>
    <row r="539" spans="1:8" ht="15.95" customHeight="1" x14ac:dyDescent="0.25">
      <c r="A539" s="41" t="s">
        <v>519</v>
      </c>
      <c r="B539" s="42" t="s">
        <v>416</v>
      </c>
      <c r="C539" s="40" t="s">
        <v>6</v>
      </c>
      <c r="D539" s="43">
        <f>179.72*1.25</f>
        <v>224.65</v>
      </c>
      <c r="E539" s="44"/>
      <c r="F539" s="44"/>
    </row>
    <row r="540" spans="1:8" ht="15.95" customHeight="1" x14ac:dyDescent="0.25">
      <c r="A540" s="41" t="s">
        <v>520</v>
      </c>
      <c r="B540" s="42" t="s">
        <v>417</v>
      </c>
      <c r="C540" s="40" t="s">
        <v>6</v>
      </c>
      <c r="D540" s="43">
        <f>+D539</f>
        <v>224.65</v>
      </c>
      <c r="E540" s="44"/>
      <c r="F540" s="44"/>
    </row>
    <row r="541" spans="1:8" ht="15.95" customHeight="1" x14ac:dyDescent="0.25">
      <c r="A541" s="41" t="s">
        <v>538</v>
      </c>
      <c r="B541" s="42" t="s">
        <v>537</v>
      </c>
      <c r="C541" s="40" t="s">
        <v>125</v>
      </c>
      <c r="D541" s="43">
        <v>1</v>
      </c>
      <c r="E541" s="75"/>
      <c r="F541" s="44"/>
    </row>
    <row r="542" spans="1:8" ht="15.95" customHeight="1" x14ac:dyDescent="0.25">
      <c r="A542" s="41" t="s">
        <v>539</v>
      </c>
      <c r="B542" s="42" t="s">
        <v>596</v>
      </c>
      <c r="C542" s="40" t="s">
        <v>125</v>
      </c>
      <c r="D542" s="43">
        <v>2</v>
      </c>
      <c r="E542" s="75"/>
      <c r="F542" s="44"/>
    </row>
    <row r="543" spans="1:8" ht="15.95" customHeight="1" x14ac:dyDescent="0.25">
      <c r="A543" s="41" t="s">
        <v>540</v>
      </c>
      <c r="B543" s="42" t="s">
        <v>597</v>
      </c>
      <c r="C543" s="40" t="s">
        <v>125</v>
      </c>
      <c r="D543" s="43">
        <v>1</v>
      </c>
      <c r="E543" s="75"/>
      <c r="F543" s="44"/>
    </row>
    <row r="544" spans="1:8" ht="15.95" customHeight="1" x14ac:dyDescent="0.25">
      <c r="A544" s="41" t="s">
        <v>726</v>
      </c>
      <c r="B544" s="42" t="s">
        <v>779</v>
      </c>
      <c r="C544" s="40" t="s">
        <v>126</v>
      </c>
      <c r="D544" s="43">
        <v>25</v>
      </c>
      <c r="E544" s="44"/>
      <c r="F544" s="44"/>
    </row>
    <row r="545" spans="1:8" ht="15.95" customHeight="1" x14ac:dyDescent="0.25">
      <c r="A545" s="41" t="s">
        <v>727</v>
      </c>
      <c r="B545" s="42" t="s">
        <v>774</v>
      </c>
      <c r="C545" s="40" t="s">
        <v>126</v>
      </c>
      <c r="D545" s="43">
        <v>25</v>
      </c>
      <c r="E545" s="44"/>
      <c r="F545" s="44"/>
    </row>
    <row r="546" spans="1:8" ht="15.95" customHeight="1" x14ac:dyDescent="0.25">
      <c r="A546" s="41" t="s">
        <v>780</v>
      </c>
      <c r="B546" s="76" t="s">
        <v>632</v>
      </c>
      <c r="C546" s="77" t="s">
        <v>126</v>
      </c>
      <c r="D546" s="78">
        <f>23.3*1.3</f>
        <v>30.290000000000003</v>
      </c>
      <c r="E546" s="79"/>
      <c r="F546" s="44"/>
    </row>
    <row r="547" spans="1:8" ht="15.95" customHeight="1" thickBot="1" x14ac:dyDescent="0.3">
      <c r="A547" s="41" t="s">
        <v>781</v>
      </c>
      <c r="B547" s="42" t="s">
        <v>723</v>
      </c>
      <c r="C547" s="40" t="s">
        <v>125</v>
      </c>
      <c r="D547" s="45">
        <v>8</v>
      </c>
      <c r="E547" s="44"/>
      <c r="F547" s="44"/>
    </row>
    <row r="548" spans="1:8" ht="15.95" customHeight="1" thickBot="1" x14ac:dyDescent="0.3">
      <c r="A548" s="111" t="s">
        <v>377</v>
      </c>
      <c r="B548" s="112" t="s">
        <v>741</v>
      </c>
      <c r="C548" s="113"/>
      <c r="D548" s="114"/>
      <c r="E548" s="115"/>
      <c r="F548" s="116"/>
      <c r="H548" s="84">
        <f>SUM(H549:H568)</f>
        <v>0</v>
      </c>
    </row>
    <row r="549" spans="1:8" ht="15.95" customHeight="1" thickBot="1" x14ac:dyDescent="0.3">
      <c r="A549" s="111" t="s">
        <v>378</v>
      </c>
      <c r="B549" s="112" t="s">
        <v>728</v>
      </c>
      <c r="C549" s="113"/>
      <c r="D549" s="114"/>
      <c r="E549" s="115"/>
      <c r="F549" s="116"/>
      <c r="H549" s="84">
        <f>SUM(F550:F551)</f>
        <v>0</v>
      </c>
    </row>
    <row r="550" spans="1:8" ht="15.95" customHeight="1" x14ac:dyDescent="0.25">
      <c r="A550" s="95" t="s">
        <v>422</v>
      </c>
      <c r="B550" s="96" t="s">
        <v>729</v>
      </c>
      <c r="C550" s="94" t="s">
        <v>6</v>
      </c>
      <c r="D550" s="117">
        <f>7.3*2.5+3.32*2</f>
        <v>24.89</v>
      </c>
      <c r="E550" s="97"/>
      <c r="F550" s="118"/>
    </row>
    <row r="551" spans="1:8" ht="15.95" customHeight="1" thickBot="1" x14ac:dyDescent="0.3">
      <c r="A551" s="95" t="s">
        <v>423</v>
      </c>
      <c r="B551" s="76" t="s">
        <v>730</v>
      </c>
      <c r="C551" s="94" t="s">
        <v>6</v>
      </c>
      <c r="D551" s="119">
        <f>+D550</f>
        <v>24.89</v>
      </c>
      <c r="E551" s="79"/>
      <c r="F551" s="118"/>
    </row>
    <row r="552" spans="1:8" ht="15.95" customHeight="1" thickBot="1" x14ac:dyDescent="0.3">
      <c r="A552" s="120" t="s">
        <v>379</v>
      </c>
      <c r="B552" s="112" t="s">
        <v>731</v>
      </c>
      <c r="C552" s="113"/>
      <c r="D552" s="114"/>
      <c r="E552" s="115"/>
      <c r="F552" s="132"/>
      <c r="H552" s="84">
        <f>SUM(F553:F559)</f>
        <v>0</v>
      </c>
    </row>
    <row r="553" spans="1:8" ht="15.95" customHeight="1" x14ac:dyDescent="0.25">
      <c r="A553" s="108" t="s">
        <v>424</v>
      </c>
      <c r="B553" s="96" t="s">
        <v>729</v>
      </c>
      <c r="C553" s="94" t="s">
        <v>6</v>
      </c>
      <c r="D553" s="117">
        <f>6.7*2.5-2+2.8*2</f>
        <v>20.350000000000001</v>
      </c>
      <c r="E553" s="97"/>
      <c r="F553" s="97"/>
    </row>
    <row r="554" spans="1:8" ht="15.95" customHeight="1" x14ac:dyDescent="0.25">
      <c r="A554" s="130" t="s">
        <v>425</v>
      </c>
      <c r="B554" s="76" t="s">
        <v>730</v>
      </c>
      <c r="C554" s="77" t="s">
        <v>6</v>
      </c>
      <c r="D554" s="119">
        <f>+D553</f>
        <v>20.350000000000001</v>
      </c>
      <c r="E554" s="79"/>
      <c r="F554" s="79"/>
    </row>
    <row r="555" spans="1:8" ht="15.95" customHeight="1" x14ac:dyDescent="0.25">
      <c r="A555" s="130" t="s">
        <v>426</v>
      </c>
      <c r="B555" s="76" t="s">
        <v>732</v>
      </c>
      <c r="C555" s="77" t="s">
        <v>125</v>
      </c>
      <c r="D555" s="119">
        <v>2</v>
      </c>
      <c r="E555" s="79"/>
      <c r="F555" s="79"/>
    </row>
    <row r="556" spans="1:8" ht="15.95" customHeight="1" x14ac:dyDescent="0.25">
      <c r="A556" s="130" t="s">
        <v>427</v>
      </c>
      <c r="B556" s="76" t="s">
        <v>733</v>
      </c>
      <c r="C556" s="77" t="s">
        <v>125</v>
      </c>
      <c r="D556" s="119">
        <v>2</v>
      </c>
      <c r="E556" s="79"/>
      <c r="F556" s="79"/>
    </row>
    <row r="557" spans="1:8" ht="15.95" customHeight="1" x14ac:dyDescent="0.25">
      <c r="A557" s="130" t="s">
        <v>428</v>
      </c>
      <c r="B557" s="125" t="s">
        <v>767</v>
      </c>
      <c r="C557" s="126" t="s">
        <v>125</v>
      </c>
      <c r="D557" s="131">
        <v>1</v>
      </c>
      <c r="E557" s="128"/>
      <c r="F557" s="79"/>
    </row>
    <row r="558" spans="1:8" ht="15.95" customHeight="1" x14ac:dyDescent="0.25">
      <c r="A558" s="133" t="s">
        <v>429</v>
      </c>
      <c r="B558" s="134" t="s">
        <v>768</v>
      </c>
      <c r="C558" s="135" t="s">
        <v>125</v>
      </c>
      <c r="D558" s="136">
        <v>1</v>
      </c>
      <c r="E558" s="137"/>
      <c r="F558" s="80"/>
    </row>
    <row r="559" spans="1:8" ht="15.95" customHeight="1" thickBot="1" x14ac:dyDescent="0.3">
      <c r="A559" s="133" t="s">
        <v>430</v>
      </c>
      <c r="B559" s="76" t="s">
        <v>745</v>
      </c>
      <c r="C559" s="40" t="s">
        <v>99</v>
      </c>
      <c r="D559" s="119">
        <f>1*0.6*0.3</f>
        <v>0.18</v>
      </c>
      <c r="E559" s="79"/>
      <c r="F559" s="118"/>
    </row>
    <row r="560" spans="1:8" ht="15.95" customHeight="1" thickBot="1" x14ac:dyDescent="0.3">
      <c r="A560" s="120" t="s">
        <v>431</v>
      </c>
      <c r="B560" s="112" t="s">
        <v>734</v>
      </c>
      <c r="C560" s="113"/>
      <c r="D560" s="114"/>
      <c r="E560" s="115"/>
      <c r="F560" s="121"/>
      <c r="H560" s="84">
        <f>SUM(F561:F566)</f>
        <v>0</v>
      </c>
    </row>
    <row r="561" spans="1:8" ht="15.95" customHeight="1" x14ac:dyDescent="0.25">
      <c r="A561" s="108" t="s">
        <v>432</v>
      </c>
      <c r="B561" s="122" t="s">
        <v>735</v>
      </c>
      <c r="C561" s="123" t="s">
        <v>126</v>
      </c>
      <c r="D561" s="124">
        <v>25</v>
      </c>
      <c r="E561" s="97"/>
      <c r="F561" s="97"/>
    </row>
    <row r="562" spans="1:8" ht="15.95" customHeight="1" x14ac:dyDescent="0.25">
      <c r="A562" s="130" t="s">
        <v>433</v>
      </c>
      <c r="B562" s="125" t="s">
        <v>736</v>
      </c>
      <c r="C562" s="126" t="s">
        <v>126</v>
      </c>
      <c r="D562" s="127">
        <v>25</v>
      </c>
      <c r="E562" s="79"/>
      <c r="F562" s="79"/>
    </row>
    <row r="563" spans="1:8" ht="15.95" customHeight="1" x14ac:dyDescent="0.25">
      <c r="A563" s="130" t="s">
        <v>434</v>
      </c>
      <c r="B563" s="125" t="s">
        <v>737</v>
      </c>
      <c r="C563" s="126" t="s">
        <v>125</v>
      </c>
      <c r="D563" s="127">
        <v>2</v>
      </c>
      <c r="E563" s="79"/>
      <c r="F563" s="79"/>
    </row>
    <row r="564" spans="1:8" ht="15.95" customHeight="1" x14ac:dyDescent="0.25">
      <c r="A564" s="130" t="s">
        <v>742</v>
      </c>
      <c r="B564" s="125" t="s">
        <v>738</v>
      </c>
      <c r="C564" s="126" t="s">
        <v>125</v>
      </c>
      <c r="D564" s="127">
        <v>1</v>
      </c>
      <c r="E564" s="79"/>
      <c r="F564" s="79"/>
    </row>
    <row r="565" spans="1:8" ht="15.95" customHeight="1" x14ac:dyDescent="0.25">
      <c r="A565" s="130" t="s">
        <v>743</v>
      </c>
      <c r="B565" s="76" t="s">
        <v>739</v>
      </c>
      <c r="C565" s="77" t="s">
        <v>125</v>
      </c>
      <c r="D565" s="127">
        <v>1</v>
      </c>
      <c r="E565" s="128"/>
      <c r="F565" s="79"/>
    </row>
    <row r="566" spans="1:8" ht="15.95" customHeight="1" thickBot="1" x14ac:dyDescent="0.3">
      <c r="A566" s="133" t="s">
        <v>744</v>
      </c>
      <c r="B566" s="134" t="s">
        <v>769</v>
      </c>
      <c r="C566" s="135" t="s">
        <v>125</v>
      </c>
      <c r="D566" s="136">
        <v>1</v>
      </c>
      <c r="E566" s="137"/>
      <c r="F566" s="80"/>
    </row>
    <row r="567" spans="1:8" ht="15.95" customHeight="1" thickBot="1" x14ac:dyDescent="0.3">
      <c r="A567" s="53" t="s">
        <v>746</v>
      </c>
      <c r="B567" s="54" t="s">
        <v>415</v>
      </c>
      <c r="C567" s="59"/>
      <c r="D567" s="60"/>
      <c r="E567" s="62"/>
      <c r="F567" s="138"/>
    </row>
    <row r="568" spans="1:8" ht="15.95" customHeight="1" thickBot="1" x14ac:dyDescent="0.3">
      <c r="A568" s="41" t="s">
        <v>747</v>
      </c>
      <c r="B568" s="42" t="s">
        <v>129</v>
      </c>
      <c r="C568" s="40" t="s">
        <v>6</v>
      </c>
      <c r="D568" s="45">
        <v>40.29</v>
      </c>
      <c r="E568" s="44"/>
      <c r="F568" s="44"/>
      <c r="H568" s="84">
        <f>+Tabla1632343435[[#This Row],[SUBTOTAL]]</f>
        <v>0</v>
      </c>
    </row>
    <row r="569" spans="1:8" ht="15.95" customHeight="1" thickBot="1" x14ac:dyDescent="0.3">
      <c r="A569" s="99" t="s">
        <v>381</v>
      </c>
      <c r="B569" s="54" t="s">
        <v>82</v>
      </c>
      <c r="C569" s="55"/>
      <c r="D569" s="63"/>
      <c r="E569" s="64"/>
      <c r="F569" s="64"/>
      <c r="H569" s="84">
        <f>SUM(H570:H590)</f>
        <v>0</v>
      </c>
    </row>
    <row r="570" spans="1:8" ht="15.95" customHeight="1" thickBot="1" x14ac:dyDescent="0.3">
      <c r="A570" s="99" t="s">
        <v>435</v>
      </c>
      <c r="B570" s="54" t="s">
        <v>83</v>
      </c>
      <c r="C570" s="55"/>
      <c r="D570" s="63"/>
      <c r="E570" s="64"/>
      <c r="F570" s="64"/>
      <c r="H570" s="84">
        <f>SUM(F571:F578)</f>
        <v>0</v>
      </c>
    </row>
    <row r="571" spans="1:8" ht="15.95" customHeight="1" x14ac:dyDescent="0.25">
      <c r="A571" s="41" t="s">
        <v>748</v>
      </c>
      <c r="B571" s="42" t="s">
        <v>90</v>
      </c>
      <c r="C571" s="40" t="s">
        <v>6</v>
      </c>
      <c r="D571" s="46">
        <v>380</v>
      </c>
      <c r="E571" s="44"/>
      <c r="F571" s="44"/>
    </row>
    <row r="572" spans="1:8" ht="15.95" customHeight="1" x14ac:dyDescent="0.25">
      <c r="A572" s="41" t="s">
        <v>749</v>
      </c>
      <c r="B572" s="42" t="s">
        <v>53</v>
      </c>
      <c r="C572" s="40" t="s">
        <v>99</v>
      </c>
      <c r="D572" s="45">
        <v>38</v>
      </c>
      <c r="E572" s="44"/>
      <c r="F572" s="44"/>
    </row>
    <row r="573" spans="1:8" ht="15.95" customHeight="1" x14ac:dyDescent="0.25">
      <c r="A573" s="41" t="s">
        <v>750</v>
      </c>
      <c r="B573" s="42" t="s">
        <v>439</v>
      </c>
      <c r="C573" s="40" t="s">
        <v>6</v>
      </c>
      <c r="D573" s="45">
        <v>372</v>
      </c>
      <c r="E573" s="44"/>
      <c r="F573" s="44"/>
    </row>
    <row r="574" spans="1:8" ht="15.95" customHeight="1" x14ac:dyDescent="0.25">
      <c r="A574" s="41" t="s">
        <v>751</v>
      </c>
      <c r="B574" s="42" t="s">
        <v>54</v>
      </c>
      <c r="C574" s="40" t="s">
        <v>6</v>
      </c>
      <c r="D574" s="45">
        <v>372</v>
      </c>
      <c r="E574" s="44"/>
      <c r="F574" s="44"/>
    </row>
    <row r="575" spans="1:8" ht="15.95" customHeight="1" x14ac:dyDescent="0.25">
      <c r="A575" s="41" t="s">
        <v>752</v>
      </c>
      <c r="B575" s="42" t="s">
        <v>55</v>
      </c>
      <c r="C575" s="40" t="s">
        <v>6</v>
      </c>
      <c r="D575" s="45">
        <v>372</v>
      </c>
      <c r="E575" s="44"/>
      <c r="F575" s="44"/>
    </row>
    <row r="576" spans="1:8" ht="15.95" customHeight="1" x14ac:dyDescent="0.25">
      <c r="A576" s="41" t="s">
        <v>753</v>
      </c>
      <c r="B576" s="42" t="s">
        <v>124</v>
      </c>
      <c r="C576" s="40" t="s">
        <v>125</v>
      </c>
      <c r="D576" s="45">
        <v>9</v>
      </c>
      <c r="E576" s="44"/>
      <c r="F576" s="44"/>
    </row>
    <row r="577" spans="1:8" ht="15.95" customHeight="1" x14ac:dyDescent="0.25">
      <c r="A577" s="41" t="s">
        <v>754</v>
      </c>
      <c r="B577" s="42" t="s">
        <v>622</v>
      </c>
      <c r="C577" s="40" t="s">
        <v>99</v>
      </c>
      <c r="D577" s="45">
        <v>38</v>
      </c>
      <c r="E577" s="44"/>
      <c r="F577" s="44"/>
    </row>
    <row r="578" spans="1:8" ht="15.95" customHeight="1" thickBot="1" x14ac:dyDescent="0.3">
      <c r="A578" s="41" t="s">
        <v>755</v>
      </c>
      <c r="B578" s="42" t="s">
        <v>476</v>
      </c>
      <c r="C578" s="40" t="s">
        <v>6</v>
      </c>
      <c r="D578" s="45">
        <v>288</v>
      </c>
      <c r="E578" s="44"/>
      <c r="F578" s="44"/>
    </row>
    <row r="579" spans="1:8" ht="15.95" customHeight="1" thickBot="1" x14ac:dyDescent="0.3">
      <c r="A579" s="99" t="s">
        <v>436</v>
      </c>
      <c r="B579" s="54" t="s">
        <v>365</v>
      </c>
      <c r="C579" s="54"/>
      <c r="D579" s="63"/>
      <c r="E579" s="64"/>
      <c r="F579" s="64"/>
      <c r="H579" s="84">
        <f>SUM(F580:F586)</f>
        <v>0</v>
      </c>
    </row>
    <row r="580" spans="1:8" ht="15.95" customHeight="1" x14ac:dyDescent="0.25">
      <c r="A580" s="41" t="s">
        <v>756</v>
      </c>
      <c r="B580" s="42" t="s">
        <v>113</v>
      </c>
      <c r="C580" s="40" t="s">
        <v>6</v>
      </c>
      <c r="D580" s="45">
        <f>34.23*3-3*2.6-2*1.2*2</f>
        <v>90.09</v>
      </c>
      <c r="E580" s="44"/>
      <c r="F580" s="44"/>
    </row>
    <row r="581" spans="1:8" ht="15.95" customHeight="1" x14ac:dyDescent="0.25">
      <c r="A581" s="41" t="s">
        <v>757</v>
      </c>
      <c r="B581" s="42" t="s">
        <v>594</v>
      </c>
      <c r="C581" s="40" t="s">
        <v>6</v>
      </c>
      <c r="D581" s="45">
        <f>34.23*1.5-2*1.2*1.2-3.05*1.2</f>
        <v>44.805</v>
      </c>
      <c r="E581" s="44"/>
      <c r="F581" s="44"/>
    </row>
    <row r="582" spans="1:8" ht="15.95" customHeight="1" x14ac:dyDescent="0.25">
      <c r="A582" s="41" t="s">
        <v>758</v>
      </c>
      <c r="B582" s="42" t="s">
        <v>605</v>
      </c>
      <c r="C582" s="40" t="s">
        <v>6</v>
      </c>
      <c r="D582" s="45">
        <f>34.23*1.5-2*0.8*1.2-3.05*1.3</f>
        <v>45.459999999999994</v>
      </c>
      <c r="E582" s="44"/>
      <c r="F582" s="44"/>
    </row>
    <row r="583" spans="1:8" ht="15.95" customHeight="1" x14ac:dyDescent="0.25">
      <c r="A583" s="41" t="s">
        <v>759</v>
      </c>
      <c r="B583" s="42" t="s">
        <v>366</v>
      </c>
      <c r="C583" s="40" t="s">
        <v>125</v>
      </c>
      <c r="D583" s="45">
        <v>14</v>
      </c>
      <c r="E583" s="44"/>
      <c r="F583" s="44"/>
    </row>
    <row r="584" spans="1:8" ht="15.95" customHeight="1" x14ac:dyDescent="0.25">
      <c r="A584" s="41" t="s">
        <v>760</v>
      </c>
      <c r="B584" s="42" t="s">
        <v>367</v>
      </c>
      <c r="C584" s="40" t="s">
        <v>126</v>
      </c>
      <c r="D584" s="45">
        <v>34</v>
      </c>
      <c r="E584" s="44"/>
      <c r="F584" s="44"/>
    </row>
    <row r="585" spans="1:8" ht="15.95" customHeight="1" x14ac:dyDescent="0.25">
      <c r="A585" s="41" t="s">
        <v>761</v>
      </c>
      <c r="B585" s="42" t="s">
        <v>368</v>
      </c>
      <c r="C585" s="40" t="s">
        <v>125</v>
      </c>
      <c r="D585" s="45">
        <v>1</v>
      </c>
      <c r="E585" s="44"/>
      <c r="F585" s="44"/>
    </row>
    <row r="586" spans="1:8" ht="15.95" customHeight="1" thickBot="1" x14ac:dyDescent="0.3">
      <c r="A586" s="41" t="s">
        <v>762</v>
      </c>
      <c r="B586" s="42" t="s">
        <v>103</v>
      </c>
      <c r="C586" s="40" t="s">
        <v>125</v>
      </c>
      <c r="D586" s="45">
        <v>2</v>
      </c>
      <c r="E586" s="44"/>
      <c r="F586" s="44"/>
    </row>
    <row r="587" spans="1:8" ht="15.95" customHeight="1" thickBot="1" x14ac:dyDescent="0.3">
      <c r="A587" s="99" t="s">
        <v>740</v>
      </c>
      <c r="B587" s="54" t="s">
        <v>374</v>
      </c>
      <c r="C587" s="54"/>
      <c r="D587" s="63"/>
      <c r="E587" s="64"/>
      <c r="F587" s="64"/>
      <c r="H587" s="84">
        <f>SUM(F588:F590)</f>
        <v>0</v>
      </c>
    </row>
    <row r="588" spans="1:8" ht="15.95" customHeight="1" x14ac:dyDescent="0.25">
      <c r="A588" s="41" t="s">
        <v>763</v>
      </c>
      <c r="B588" s="42" t="s">
        <v>477</v>
      </c>
      <c r="C588" s="40" t="s">
        <v>6</v>
      </c>
      <c r="D588" s="45">
        <f>+D580</f>
        <v>90.09</v>
      </c>
      <c r="E588" s="44"/>
      <c r="F588" s="44"/>
    </row>
    <row r="589" spans="1:8" ht="15.95" customHeight="1" x14ac:dyDescent="0.25">
      <c r="A589" s="41" t="s">
        <v>764</v>
      </c>
      <c r="B589" s="42" t="s">
        <v>605</v>
      </c>
      <c r="C589" s="40" t="s">
        <v>6</v>
      </c>
      <c r="D589" s="45">
        <f>+D588</f>
        <v>90.09</v>
      </c>
      <c r="E589" s="44"/>
      <c r="F589" s="44"/>
    </row>
    <row r="590" spans="1:8" ht="15.95" customHeight="1" thickBot="1" x14ac:dyDescent="0.3">
      <c r="A590" s="41" t="s">
        <v>765</v>
      </c>
      <c r="B590" s="42" t="s">
        <v>98</v>
      </c>
      <c r="C590" s="40" t="s">
        <v>125</v>
      </c>
      <c r="D590" s="45">
        <v>1</v>
      </c>
      <c r="E590" s="44"/>
      <c r="F590" s="44"/>
    </row>
    <row r="591" spans="1:8" ht="15.95" customHeight="1" thickBot="1" x14ac:dyDescent="0.3">
      <c r="A591" s="99" t="s">
        <v>437</v>
      </c>
      <c r="B591" s="54" t="s">
        <v>375</v>
      </c>
      <c r="C591" s="55"/>
      <c r="D591" s="63"/>
      <c r="E591" s="64"/>
      <c r="F591" s="64"/>
      <c r="H591" s="84">
        <f>SUM(F592:F593)</f>
        <v>0</v>
      </c>
    </row>
    <row r="592" spans="1:8" ht="15.95" customHeight="1" x14ac:dyDescent="0.25">
      <c r="A592" s="95" t="s">
        <v>438</v>
      </c>
      <c r="B592" s="42" t="s">
        <v>478</v>
      </c>
      <c r="C592" s="40" t="s">
        <v>125</v>
      </c>
      <c r="D592" s="45">
        <v>1</v>
      </c>
      <c r="E592" s="44"/>
      <c r="F592" s="44"/>
    </row>
    <row r="593" spans="1:8" ht="15.95" customHeight="1" x14ac:dyDescent="0.25">
      <c r="A593" s="95" t="s">
        <v>766</v>
      </c>
      <c r="B593" s="87" t="s">
        <v>625</v>
      </c>
      <c r="C593" s="88" t="s">
        <v>125</v>
      </c>
      <c r="D593" s="89">
        <v>1</v>
      </c>
      <c r="E593" s="90"/>
      <c r="F593" s="44"/>
    </row>
    <row r="594" spans="1:8" ht="17.100000000000001" customHeight="1" thickBot="1" x14ac:dyDescent="0.3">
      <c r="A594" s="41"/>
      <c r="B594" s="42"/>
      <c r="C594" s="40"/>
      <c r="D594" s="45"/>
      <c r="E594" s="44"/>
      <c r="F594" s="44"/>
    </row>
    <row r="595" spans="1:8" ht="17.100000000000001" customHeight="1" x14ac:dyDescent="0.25">
      <c r="A595" s="40"/>
      <c r="C595" s="48"/>
      <c r="D595" s="49"/>
      <c r="E595" s="71" t="s">
        <v>8</v>
      </c>
      <c r="F595" s="72">
        <f>SUM(F12:F593)</f>
        <v>0</v>
      </c>
      <c r="H595" s="84">
        <f>+F595</f>
        <v>0</v>
      </c>
    </row>
    <row r="596" spans="1:8" ht="17.100000000000001" customHeight="1" x14ac:dyDescent="0.25">
      <c r="C596" s="48"/>
      <c r="D596" s="49"/>
      <c r="E596" s="65" t="s">
        <v>782</v>
      </c>
      <c r="F596" s="66">
        <f>F595*0.15</f>
        <v>0</v>
      </c>
      <c r="H596" s="129">
        <f>+H595*0.15</f>
        <v>0</v>
      </c>
    </row>
    <row r="597" spans="1:8" ht="17.100000000000001" customHeight="1" x14ac:dyDescent="0.25">
      <c r="C597" s="48"/>
      <c r="D597" s="49"/>
      <c r="E597" s="65" t="s">
        <v>783</v>
      </c>
      <c r="F597" s="66">
        <f>+F595*0.15</f>
        <v>0</v>
      </c>
      <c r="H597" s="129">
        <f>+H595*0.15</f>
        <v>0</v>
      </c>
    </row>
    <row r="598" spans="1:8" ht="17.100000000000001" customHeight="1" x14ac:dyDescent="0.25">
      <c r="A598" s="40"/>
      <c r="C598" s="50"/>
      <c r="D598" s="49"/>
      <c r="E598" s="67" t="s">
        <v>617</v>
      </c>
      <c r="F598" s="70">
        <f>SUM(F595:F597)</f>
        <v>0</v>
      </c>
      <c r="H598" s="110">
        <f>+H595+H596+H597</f>
        <v>0</v>
      </c>
    </row>
    <row r="599" spans="1:8" ht="17.100000000000001" customHeight="1" thickBot="1" x14ac:dyDescent="0.3">
      <c r="C599" s="48"/>
      <c r="D599" s="49"/>
      <c r="E599" s="65" t="s">
        <v>127</v>
      </c>
      <c r="F599" s="91">
        <f>+F598*0.19</f>
        <v>0</v>
      </c>
    </row>
    <row r="600" spans="1:8" ht="17.100000000000001" customHeight="1" thickTop="1" thickBot="1" x14ac:dyDescent="0.3">
      <c r="C600" s="51"/>
      <c r="D600" s="52"/>
      <c r="E600" s="68" t="s">
        <v>9</v>
      </c>
      <c r="F600" s="69">
        <f>SUM(F598:F599)</f>
        <v>0</v>
      </c>
    </row>
    <row r="601" spans="1:8" x14ac:dyDescent="0.25">
      <c r="C601" s="51"/>
      <c r="D601" s="52"/>
      <c r="E601" s="73"/>
      <c r="F601" s="74"/>
    </row>
    <row r="602" spans="1:8" x14ac:dyDescent="0.25">
      <c r="C602" s="51"/>
      <c r="D602" s="52"/>
      <c r="E602" s="73"/>
      <c r="F602" s="74"/>
    </row>
    <row r="619" spans="4:4" x14ac:dyDescent="0.25">
      <c r="D619" s="47"/>
    </row>
    <row r="620" spans="4:4" x14ac:dyDescent="0.25">
      <c r="D620" s="47"/>
    </row>
    <row r="621" spans="4:4" x14ac:dyDescent="0.25">
      <c r="D621" s="47"/>
    </row>
    <row r="622" spans="4:4" x14ac:dyDescent="0.25">
      <c r="D622" s="47"/>
    </row>
    <row r="630" spans="1:6" ht="16.5" x14ac:dyDescent="0.3">
      <c r="E630" s="143" t="s">
        <v>413</v>
      </c>
      <c r="F630" s="143"/>
    </row>
    <row r="631" spans="1:6" ht="16.5" x14ac:dyDescent="0.3">
      <c r="E631" s="143" t="s">
        <v>414</v>
      </c>
      <c r="F631" s="143"/>
    </row>
    <row r="632" spans="1:6" ht="15.75" x14ac:dyDescent="0.25">
      <c r="A632" s="104" t="s">
        <v>631</v>
      </c>
      <c r="C632" s="92"/>
      <c r="D632" s="92"/>
      <c r="E632" s="92"/>
      <c r="F632" s="103" t="s">
        <v>717</v>
      </c>
    </row>
  </sheetData>
  <mergeCells count="9">
    <mergeCell ref="A8:F8"/>
    <mergeCell ref="E630:F630"/>
    <mergeCell ref="E631:F631"/>
    <mergeCell ref="A5:F5"/>
    <mergeCell ref="H5:J5"/>
    <mergeCell ref="A6:F6"/>
    <mergeCell ref="H6:J6"/>
    <mergeCell ref="A7:F7"/>
    <mergeCell ref="H7:J7"/>
  </mergeCells>
  <pageMargins left="0.7" right="0.7" top="0.75" bottom="0.75" header="0.3" footer="0.3"/>
  <pageSetup paperSize="9" scale="60" orientation="portrait" r:id="rId1"/>
  <headerFooter differentOddEven="1" differentFirst="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Electricidad</vt:lpstr>
      <vt:lpstr>Itemizado</vt:lpstr>
      <vt:lpstr>Electricidad!Área_de_impresión</vt:lpstr>
      <vt:lpstr>Itemizado!Área_de_impresión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PLANI_04</dc:creator>
  <cp:lastModifiedBy>Usuario</cp:lastModifiedBy>
  <cp:lastPrinted>2023-02-02T12:21:11Z</cp:lastPrinted>
  <dcterms:created xsi:type="dcterms:W3CDTF">2015-09-23T12:26:30Z</dcterms:created>
  <dcterms:modified xsi:type="dcterms:W3CDTF">2023-03-20T16:28:02Z</dcterms:modified>
</cp:coreProperties>
</file>